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ata\MATERI KULIAH\TK.4\SKRIPSI RUDI\Dok. Pendukung\Excel\"/>
    </mc:Choice>
  </mc:AlternateContent>
  <bookViews>
    <workbookView xWindow="0" yWindow="0" windowWidth="20490" windowHeight="7650" activeTab="1"/>
  </bookViews>
  <sheets>
    <sheet name="Kronologi kec. 2020" sheetId="1" r:id="rId1"/>
    <sheet name="Tk. keparahan kec." sheetId="6" r:id="rId2"/>
    <sheet name="Kec. 2020 &amp; persegmen" sheetId="2" r:id="rId3"/>
    <sheet name="kec. bulan" sheetId="3" r:id="rId4"/>
    <sheet name="Waktu" sheetId="4" r:id="rId5"/>
    <sheet name="Usia" sheetId="5" r:id="rId6"/>
    <sheet name="Kec. sesaat" sheetId="7" r:id="rId7"/>
    <sheet name=" Kec. sesaat 2" sheetId="12" r:id="rId8"/>
    <sheet name="Jarak aman henti" sheetId="10" r:id="rId9"/>
    <sheet name="Jarak aman henti 2" sheetId="13" r:id="rId10"/>
    <sheet name="JPM" sheetId="14" r:id="rId11"/>
    <sheet name="Peny. manusia" sheetId="8" r:id="rId12"/>
    <sheet name="Proporsi penyebab kecelakaan" sheetId="11" r:id="rId13"/>
    <sheet name="Proporsi Tipe Tabrakan" sheetId="9" r:id="rId14"/>
    <sheet name="Batas Kec. PM 111" sheetId="15" r:id="rId15"/>
    <sheet name="Komparasi" sheetId="16" r:id="rId16"/>
    <sheet name="Kondisi jalan yg selamat" sheetId="17" r:id="rId17"/>
    <sheet name="Hazard" sheetId="18" r:id="rId18"/>
    <sheet name="Std. Geometrik Jl." sheetId="19" r:id="rId19"/>
    <sheet name="Usulan penanganan" sheetId="20" r:id="rId20"/>
    <sheet name="Peningkatan" sheetId="23" r:id="rId21"/>
    <sheet name="PCI" sheetId="24" r:id="rId22"/>
  </sheets>
  <definedNames>
    <definedName name="_xlnm._FilterDatabase" localSheetId="7" hidden="1">' Kec. sesaat 2'!$Y$49:$Y$78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24" l="1"/>
  <c r="K6" i="24"/>
  <c r="K7" i="24"/>
  <c r="K8" i="24"/>
  <c r="K9" i="24"/>
  <c r="K5" i="24"/>
  <c r="Q6" i="24"/>
  <c r="Q7" i="24"/>
  <c r="Q8" i="24"/>
  <c r="Q9" i="24"/>
  <c r="Q5" i="24"/>
  <c r="M6" i="24"/>
  <c r="M7" i="24"/>
  <c r="M8" i="24"/>
  <c r="M9" i="24"/>
  <c r="C11" i="24"/>
  <c r="H6" i="24"/>
  <c r="H7" i="24"/>
  <c r="H8" i="24"/>
  <c r="H9" i="24"/>
  <c r="H5" i="24"/>
  <c r="AI10" i="12" l="1"/>
  <c r="AI11" i="12"/>
  <c r="AI9" i="12"/>
  <c r="AD10" i="12"/>
  <c r="AD11" i="12"/>
  <c r="AD9" i="12"/>
  <c r="L9" i="6" l="1"/>
  <c r="K9" i="6"/>
  <c r="J9" i="6"/>
  <c r="I9" i="6"/>
  <c r="G9" i="6"/>
  <c r="H9" i="6"/>
  <c r="F9" i="6"/>
  <c r="BF9" i="7"/>
  <c r="BF10" i="7"/>
  <c r="BF8" i="7"/>
  <c r="BA9" i="7"/>
  <c r="BA10" i="7"/>
  <c r="BA8" i="7"/>
  <c r="J6" i="10" l="1"/>
  <c r="D8" i="11" l="1"/>
  <c r="D4" i="11"/>
  <c r="D10" i="11"/>
  <c r="D9" i="11"/>
  <c r="D6" i="11"/>
  <c r="D5" i="11"/>
  <c r="E9" i="6" l="1"/>
  <c r="AB9" i="12" l="1"/>
  <c r="D38" i="12"/>
  <c r="AG11" i="12"/>
  <c r="AB11" i="12"/>
  <c r="AG10" i="12"/>
  <c r="AB10" i="12"/>
  <c r="AG9" i="12"/>
  <c r="L51" i="12"/>
  <c r="L52" i="12"/>
  <c r="L53" i="12"/>
  <c r="L54" i="12" s="1"/>
  <c r="L55" i="12" s="1"/>
  <c r="L56" i="12" s="1"/>
  <c r="BD9" i="7"/>
  <c r="BD10" i="7"/>
  <c r="BD8" i="7"/>
  <c r="G40" i="7"/>
  <c r="G39" i="7"/>
  <c r="J16" i="13" l="1"/>
  <c r="J15" i="13"/>
  <c r="I16" i="13"/>
  <c r="I15" i="13"/>
  <c r="J7" i="13"/>
  <c r="I7" i="13"/>
  <c r="J14" i="13"/>
  <c r="I14" i="13"/>
  <c r="K14" i="13" s="1"/>
  <c r="J9" i="13"/>
  <c r="J8" i="13"/>
  <c r="I9" i="13"/>
  <c r="K9" i="13" s="1"/>
  <c r="I8" i="13"/>
  <c r="K8" i="13" s="1"/>
  <c r="K15" i="13" l="1"/>
  <c r="K7" i="13"/>
  <c r="K16" i="13"/>
  <c r="V61" i="12"/>
  <c r="U67" i="12"/>
  <c r="V65" i="12"/>
  <c r="V66" i="12" s="1"/>
  <c r="W64" i="12"/>
  <c r="U61" i="12"/>
  <c r="V51" i="12"/>
  <c r="V52" i="12" s="1"/>
  <c r="W50" i="12"/>
  <c r="H39" i="12"/>
  <c r="P73" i="12"/>
  <c r="R68" i="12" s="1"/>
  <c r="Q69" i="12"/>
  <c r="Q70" i="12" s="1"/>
  <c r="P65" i="12"/>
  <c r="Q51" i="12"/>
  <c r="Q52" i="12" s="1"/>
  <c r="R50" i="12"/>
  <c r="K74" i="12"/>
  <c r="M70" i="12" s="1"/>
  <c r="L71" i="12"/>
  <c r="L72" i="12" s="1"/>
  <c r="K67" i="12"/>
  <c r="M50" i="12" s="1"/>
  <c r="V21" i="12"/>
  <c r="U28" i="12"/>
  <c r="W24" i="12"/>
  <c r="V25" i="12"/>
  <c r="P27" i="12"/>
  <c r="R24" i="12" s="1"/>
  <c r="Q25" i="12"/>
  <c r="Q26" i="12" s="1"/>
  <c r="K30" i="12"/>
  <c r="M26" i="12" s="1"/>
  <c r="L27" i="12"/>
  <c r="L28" i="12" s="1"/>
  <c r="U21" i="12"/>
  <c r="V8" i="12"/>
  <c r="V9" i="12" s="1"/>
  <c r="W7" i="12"/>
  <c r="P21" i="12"/>
  <c r="Q8" i="12"/>
  <c r="R8" i="12" s="1"/>
  <c r="R7" i="12"/>
  <c r="E38" i="12"/>
  <c r="D39" i="12"/>
  <c r="K23" i="12"/>
  <c r="M7" i="12" s="1"/>
  <c r="L8" i="12"/>
  <c r="L9" i="12" s="1"/>
  <c r="L10" i="12" s="1"/>
  <c r="G39" i="12"/>
  <c r="F39" i="12"/>
  <c r="E39" i="12"/>
  <c r="C39" i="12"/>
  <c r="H38" i="12"/>
  <c r="G38" i="12"/>
  <c r="F38" i="12"/>
  <c r="C38" i="12"/>
  <c r="W65" i="12" l="1"/>
  <c r="W66" i="12"/>
  <c r="M51" i="12"/>
  <c r="W51" i="12"/>
  <c r="V53" i="12"/>
  <c r="W52" i="12"/>
  <c r="Q71" i="12"/>
  <c r="R70" i="12"/>
  <c r="R69" i="12"/>
  <c r="R52" i="12"/>
  <c r="Q53" i="12"/>
  <c r="R51" i="12"/>
  <c r="M72" i="12"/>
  <c r="L73" i="12"/>
  <c r="M73" i="12" s="1"/>
  <c r="M71" i="12"/>
  <c r="M52" i="12"/>
  <c r="M53" i="12"/>
  <c r="W25" i="12"/>
  <c r="V26" i="12"/>
  <c r="R26" i="12"/>
  <c r="R25" i="12"/>
  <c r="M28" i="12"/>
  <c r="L29" i="12"/>
  <c r="M27" i="12"/>
  <c r="V10" i="12"/>
  <c r="W9" i="12"/>
  <c r="W8" i="12"/>
  <c r="Q9" i="12"/>
  <c r="Q10" i="12" s="1"/>
  <c r="Q11" i="12" s="1"/>
  <c r="M8" i="12"/>
  <c r="L11" i="12"/>
  <c r="M10" i="12"/>
  <c r="M9" i="12"/>
  <c r="J14" i="10"/>
  <c r="I14" i="10"/>
  <c r="I6" i="10"/>
  <c r="W26" i="12" l="1"/>
  <c r="V27" i="12"/>
  <c r="W27" i="12" s="1"/>
  <c r="V54" i="12"/>
  <c r="W53" i="12"/>
  <c r="R71" i="12"/>
  <c r="Q72" i="12"/>
  <c r="R72" i="12" s="1"/>
  <c r="Q54" i="12"/>
  <c r="R53" i="12"/>
  <c r="M54" i="12"/>
  <c r="M29" i="12"/>
  <c r="V11" i="12"/>
  <c r="W10" i="12"/>
  <c r="R10" i="12"/>
  <c r="R9" i="12"/>
  <c r="R11" i="12"/>
  <c r="Q12" i="12"/>
  <c r="M11" i="12"/>
  <c r="L12" i="12"/>
  <c r="V71" i="7"/>
  <c r="V72" i="7" s="1"/>
  <c r="W72" i="7" s="1"/>
  <c r="U73" i="7"/>
  <c r="U31" i="7"/>
  <c r="P31" i="7"/>
  <c r="K32" i="7"/>
  <c r="V55" i="12" l="1"/>
  <c r="W54" i="12"/>
  <c r="Q55" i="12"/>
  <c r="R54" i="12"/>
  <c r="M55" i="12"/>
  <c r="W11" i="12"/>
  <c r="V12" i="12"/>
  <c r="Q13" i="12"/>
  <c r="R12" i="12"/>
  <c r="L13" i="12"/>
  <c r="M12" i="12"/>
  <c r="C12" i="11"/>
  <c r="D12" i="9"/>
  <c r="D5" i="9"/>
  <c r="D6" i="9"/>
  <c r="D7" i="9"/>
  <c r="D8" i="9"/>
  <c r="D9" i="9"/>
  <c r="D10" i="9"/>
  <c r="D11" i="9"/>
  <c r="D4" i="9"/>
  <c r="C12" i="9"/>
  <c r="D12" i="11" l="1"/>
  <c r="V56" i="12"/>
  <c r="W55" i="12"/>
  <c r="Q56" i="12"/>
  <c r="R55" i="12"/>
  <c r="M56" i="12"/>
  <c r="L57" i="12"/>
  <c r="V13" i="12"/>
  <c r="W12" i="12"/>
  <c r="Q14" i="12"/>
  <c r="R13" i="12"/>
  <c r="M13" i="12"/>
  <c r="L14" i="12"/>
  <c r="K14" i="10"/>
  <c r="J15" i="10"/>
  <c r="I15" i="10"/>
  <c r="K15" i="10" s="1"/>
  <c r="J13" i="10"/>
  <c r="I13" i="10"/>
  <c r="K13" i="10" s="1"/>
  <c r="K8" i="10"/>
  <c r="J8" i="10"/>
  <c r="I8" i="10"/>
  <c r="J7" i="10"/>
  <c r="K7" i="10" s="1"/>
  <c r="I7" i="10"/>
  <c r="K6" i="10"/>
  <c r="V57" i="12" l="1"/>
  <c r="W56" i="12"/>
  <c r="R56" i="12"/>
  <c r="Q57" i="12"/>
  <c r="L58" i="12"/>
  <c r="M57" i="12"/>
  <c r="V14" i="12"/>
  <c r="V15" i="12" s="1"/>
  <c r="V16" i="12" s="1"/>
  <c r="V17" i="12" s="1"/>
  <c r="V18" i="12" s="1"/>
  <c r="V19" i="12" s="1"/>
  <c r="V20" i="12" s="1"/>
  <c r="W13" i="12"/>
  <c r="Q15" i="12"/>
  <c r="R14" i="12"/>
  <c r="L15" i="12"/>
  <c r="M14" i="12"/>
  <c r="W70" i="7"/>
  <c r="U67" i="7"/>
  <c r="V56" i="7"/>
  <c r="W56" i="7" s="1"/>
  <c r="W55" i="7"/>
  <c r="P80" i="7"/>
  <c r="Q76" i="7"/>
  <c r="Q77" i="7" s="1"/>
  <c r="P72" i="7"/>
  <c r="Q56" i="7"/>
  <c r="R56" i="7" s="1"/>
  <c r="R55" i="7"/>
  <c r="L80" i="7"/>
  <c r="M55" i="7"/>
  <c r="K76" i="7"/>
  <c r="L56" i="7"/>
  <c r="M56" i="7" s="1"/>
  <c r="L81" i="7" l="1"/>
  <c r="K84" i="7"/>
  <c r="M79" i="7" s="1"/>
  <c r="V58" i="12"/>
  <c r="W57" i="12"/>
  <c r="Q58" i="12"/>
  <c r="R57" i="12"/>
  <c r="M58" i="12"/>
  <c r="L59" i="12"/>
  <c r="W14" i="12"/>
  <c r="R15" i="12"/>
  <c r="Q16" i="12"/>
  <c r="L16" i="12"/>
  <c r="M15" i="12"/>
  <c r="W71" i="7"/>
  <c r="Q57" i="7"/>
  <c r="Q58" i="7" s="1"/>
  <c r="Q59" i="7" s="1"/>
  <c r="V57" i="7"/>
  <c r="V58" i="7" s="1"/>
  <c r="V59" i="7" s="1"/>
  <c r="R75" i="7"/>
  <c r="Q78" i="7"/>
  <c r="R77" i="7"/>
  <c r="R76" i="7"/>
  <c r="M81" i="7"/>
  <c r="L82" i="7"/>
  <c r="M80" i="7"/>
  <c r="L57" i="7"/>
  <c r="M57" i="7" s="1"/>
  <c r="V28" i="7"/>
  <c r="V29" i="7" s="1"/>
  <c r="V30" i="7" s="1"/>
  <c r="W30" i="7" s="1"/>
  <c r="U24" i="7"/>
  <c r="V9" i="7"/>
  <c r="V10" i="7" s="1"/>
  <c r="W8" i="7"/>
  <c r="Q28" i="7"/>
  <c r="Q29" i="7" s="1"/>
  <c r="Q30" i="7" s="1"/>
  <c r="R30" i="7" s="1"/>
  <c r="R27" i="7"/>
  <c r="P24" i="7"/>
  <c r="R8" i="7"/>
  <c r="Q9" i="7"/>
  <c r="Q10" i="7" s="1"/>
  <c r="R10" i="7" s="1"/>
  <c r="L28" i="7"/>
  <c r="L29" i="7" s="1"/>
  <c r="L30" i="7" s="1"/>
  <c r="L31" i="7" s="1"/>
  <c r="M27" i="7"/>
  <c r="K24" i="7"/>
  <c r="L9" i="7"/>
  <c r="L10" i="7" s="1"/>
  <c r="AY17" i="7"/>
  <c r="AX19" i="7"/>
  <c r="R57" i="7" l="1"/>
  <c r="R58" i="7"/>
  <c r="V59" i="12"/>
  <c r="W58" i="12"/>
  <c r="R58" i="12"/>
  <c r="Q59" i="12"/>
  <c r="L60" i="12"/>
  <c r="M59" i="12"/>
  <c r="Q17" i="12"/>
  <c r="R16" i="12"/>
  <c r="L17" i="12"/>
  <c r="M16" i="12"/>
  <c r="M82" i="7"/>
  <c r="L83" i="7"/>
  <c r="M83" i="7" s="1"/>
  <c r="R78" i="7"/>
  <c r="Q79" i="7"/>
  <c r="R79" i="7" s="1"/>
  <c r="R9" i="7"/>
  <c r="W57" i="7"/>
  <c r="W58" i="7"/>
  <c r="V60" i="7"/>
  <c r="W59" i="7"/>
  <c r="Q60" i="7"/>
  <c r="R59" i="7"/>
  <c r="L58" i="7"/>
  <c r="M58" i="7" s="1"/>
  <c r="W27" i="7"/>
  <c r="W9" i="7"/>
  <c r="V11" i="7"/>
  <c r="W10" i="7"/>
  <c r="R28" i="7"/>
  <c r="R29" i="7"/>
  <c r="L11" i="7"/>
  <c r="M10" i="7"/>
  <c r="Q11" i="7"/>
  <c r="R11" i="7" s="1"/>
  <c r="M28" i="7"/>
  <c r="M29" i="7"/>
  <c r="M30" i="7"/>
  <c r="AY18" i="7"/>
  <c r="AZ18" i="7" s="1"/>
  <c r="AZ17" i="7"/>
  <c r="AZ16" i="7"/>
  <c r="V60" i="12" l="1"/>
  <c r="W59" i="12"/>
  <c r="Q60" i="12"/>
  <c r="R59" i="12"/>
  <c r="M60" i="12"/>
  <c r="L61" i="12"/>
  <c r="W15" i="12"/>
  <c r="Q18" i="12"/>
  <c r="R17" i="12"/>
  <c r="M17" i="12"/>
  <c r="L18" i="12"/>
  <c r="V61" i="7"/>
  <c r="W60" i="7"/>
  <c r="Q61" i="7"/>
  <c r="R60" i="7"/>
  <c r="L59" i="7"/>
  <c r="M59" i="7" s="1"/>
  <c r="W28" i="7"/>
  <c r="W29" i="7"/>
  <c r="V12" i="7"/>
  <c r="W11" i="7"/>
  <c r="L12" i="7"/>
  <c r="M11" i="7"/>
  <c r="Q12" i="7"/>
  <c r="R12" i="7" s="1"/>
  <c r="AO39" i="7"/>
  <c r="W60" i="12" l="1"/>
  <c r="Q61" i="12"/>
  <c r="R60" i="12"/>
  <c r="L62" i="12"/>
  <c r="M61" i="12"/>
  <c r="W16" i="12"/>
  <c r="Q19" i="12"/>
  <c r="R18" i="12"/>
  <c r="L19" i="12"/>
  <c r="M18" i="12"/>
  <c r="V62" i="7"/>
  <c r="W61" i="7"/>
  <c r="Q62" i="7"/>
  <c r="R61" i="7"/>
  <c r="L60" i="7"/>
  <c r="M60" i="7" s="1"/>
  <c r="V13" i="7"/>
  <c r="W12" i="7"/>
  <c r="L13" i="7"/>
  <c r="M12" i="7"/>
  <c r="Q13" i="7"/>
  <c r="R13" i="7" s="1"/>
  <c r="AT39" i="7"/>
  <c r="AR39" i="7"/>
  <c r="AP39" i="7"/>
  <c r="AS39" i="7"/>
  <c r="AQ39" i="7"/>
  <c r="AY10" i="7"/>
  <c r="F40" i="7"/>
  <c r="F39" i="7"/>
  <c r="E40" i="7"/>
  <c r="E39" i="7"/>
  <c r="H40" i="7"/>
  <c r="D40" i="7"/>
  <c r="C40" i="7"/>
  <c r="H39" i="7"/>
  <c r="D39" i="7"/>
  <c r="C39" i="7"/>
  <c r="AY9" i="7"/>
  <c r="AY8" i="7"/>
  <c r="M9" i="7"/>
  <c r="M8" i="7"/>
  <c r="Q62" i="12" l="1"/>
  <c r="R61" i="12"/>
  <c r="M62" i="12"/>
  <c r="L63" i="12"/>
  <c r="W17" i="12"/>
  <c r="R19" i="12"/>
  <c r="Q20" i="12"/>
  <c r="M19" i="12"/>
  <c r="L20" i="12"/>
  <c r="V63" i="7"/>
  <c r="W62" i="7"/>
  <c r="Q63" i="7"/>
  <c r="R62" i="7"/>
  <c r="L61" i="7"/>
  <c r="M61" i="7" s="1"/>
  <c r="V14" i="7"/>
  <c r="W13" i="7"/>
  <c r="L14" i="7"/>
  <c r="M13" i="7"/>
  <c r="Q14" i="7"/>
  <c r="R14" i="7" s="1"/>
  <c r="R62" i="12" l="1"/>
  <c r="Q63" i="12"/>
  <c r="L64" i="12"/>
  <c r="M63" i="12"/>
  <c r="W18" i="12"/>
  <c r="R20" i="12"/>
  <c r="L21" i="12"/>
  <c r="M20" i="12"/>
  <c r="V64" i="7"/>
  <c r="W63" i="7"/>
  <c r="Q64" i="7"/>
  <c r="R63" i="7"/>
  <c r="L62" i="7"/>
  <c r="M62" i="7" s="1"/>
  <c r="V15" i="7"/>
  <c r="W14" i="7"/>
  <c r="L15" i="7"/>
  <c r="M14" i="7"/>
  <c r="Q15" i="7"/>
  <c r="R15" i="7" s="1"/>
  <c r="R63" i="12" l="1"/>
  <c r="Q64" i="12"/>
  <c r="R64" i="12" s="1"/>
  <c r="L65" i="12"/>
  <c r="M64" i="12"/>
  <c r="W19" i="12"/>
  <c r="M21" i="12"/>
  <c r="L22" i="12"/>
  <c r="M22" i="12" s="1"/>
  <c r="V65" i="7"/>
  <c r="V66" i="7" s="1"/>
  <c r="W66" i="7" s="1"/>
  <c r="W64" i="7"/>
  <c r="Q65" i="7"/>
  <c r="R64" i="7"/>
  <c r="L63" i="7"/>
  <c r="M63" i="7" s="1"/>
  <c r="V16" i="7"/>
  <c r="W15" i="7"/>
  <c r="L16" i="7"/>
  <c r="M15" i="7"/>
  <c r="Q16" i="7"/>
  <c r="R16" i="7" s="1"/>
  <c r="M65" i="12" l="1"/>
  <c r="L66" i="12"/>
  <c r="M66" i="12" s="1"/>
  <c r="W20" i="12"/>
  <c r="W65" i="7"/>
  <c r="Q66" i="7"/>
  <c r="R65" i="7"/>
  <c r="L64" i="7"/>
  <c r="M64" i="7" s="1"/>
  <c r="V17" i="7"/>
  <c r="W16" i="7"/>
  <c r="L17" i="7"/>
  <c r="M16" i="7"/>
  <c r="Q17" i="7"/>
  <c r="R17" i="7" s="1"/>
  <c r="Q67" i="7" l="1"/>
  <c r="R66" i="7"/>
  <c r="L65" i="7"/>
  <c r="M65" i="7" s="1"/>
  <c r="V18" i="7"/>
  <c r="W17" i="7"/>
  <c r="L18" i="7"/>
  <c r="M17" i="7"/>
  <c r="Q18" i="7"/>
  <c r="R18" i="7" s="1"/>
  <c r="Q68" i="7" l="1"/>
  <c r="R67" i="7"/>
  <c r="L66" i="7"/>
  <c r="M66" i="7" s="1"/>
  <c r="V19" i="7"/>
  <c r="W18" i="7"/>
  <c r="L19" i="7"/>
  <c r="M18" i="7"/>
  <c r="Q19" i="7"/>
  <c r="R19" i="7" s="1"/>
  <c r="Q69" i="7" l="1"/>
  <c r="R68" i="7"/>
  <c r="L67" i="7"/>
  <c r="M67" i="7" s="1"/>
  <c r="V20" i="7"/>
  <c r="W19" i="7"/>
  <c r="L20" i="7"/>
  <c r="M19" i="7"/>
  <c r="Q20" i="7"/>
  <c r="R20" i="7" s="1"/>
  <c r="Q70" i="7" l="1"/>
  <c r="R69" i="7"/>
  <c r="L68" i="7"/>
  <c r="M68" i="7" s="1"/>
  <c r="V21" i="7"/>
  <c r="W20" i="7"/>
  <c r="L21" i="7"/>
  <c r="M20" i="7"/>
  <c r="Q21" i="7"/>
  <c r="Q71" i="7" l="1"/>
  <c r="R70" i="7"/>
  <c r="L69" i="7"/>
  <c r="M69" i="7" s="1"/>
  <c r="Q22" i="7"/>
  <c r="R21" i="7"/>
  <c r="V22" i="7"/>
  <c r="W21" i="7"/>
  <c r="L22" i="7"/>
  <c r="M21" i="7"/>
  <c r="R71" i="7" l="1"/>
  <c r="L70" i="7"/>
  <c r="Q23" i="7"/>
  <c r="R23" i="7" s="1"/>
  <c r="R22" i="7"/>
  <c r="V23" i="7"/>
  <c r="W23" i="7" s="1"/>
  <c r="W22" i="7"/>
  <c r="L23" i="7"/>
  <c r="M23" i="7" s="1"/>
  <c r="M22" i="7"/>
  <c r="L71" i="7" l="1"/>
  <c r="M70" i="7"/>
  <c r="L72" i="7" l="1"/>
  <c r="M71" i="7"/>
  <c r="L73" i="7" l="1"/>
  <c r="M72" i="7"/>
  <c r="L74" i="7" l="1"/>
  <c r="M73" i="7"/>
  <c r="L75" i="7" l="1"/>
  <c r="M75" i="7" s="1"/>
  <c r="M74" i="7"/>
</calcChain>
</file>

<file path=xl/sharedStrings.xml><?xml version="1.0" encoding="utf-8"?>
<sst xmlns="http://schemas.openxmlformats.org/spreadsheetml/2006/main" count="1209" uniqueCount="544">
  <si>
    <t>Senin</t>
  </si>
  <si>
    <t>Mobil Zas B 2695 KBC</t>
  </si>
  <si>
    <t>beruntun</t>
  </si>
  <si>
    <t>Unit-3</t>
  </si>
  <si>
    <t>ANDI MARGA</t>
  </si>
  <si>
    <t>Lk</t>
  </si>
  <si>
    <t>39 Th</t>
  </si>
  <si>
    <t>sawsta</t>
  </si>
  <si>
    <t>Jl. Tanjung raya I  gg H taslim No.18 Ptk</t>
  </si>
  <si>
    <t>tsk</t>
  </si>
  <si>
    <t>Jl. Nansional</t>
  </si>
  <si>
    <t>tanpa</t>
  </si>
  <si>
    <t>Mobil Zass B 2695  KBC dari arah  jembatan kapuas  tujuan arah jembatan landak, sesamainya di TKP sewaktu mendahului mobil, dan bergerak ke kanan sehingga menabrak sepmot KB  5391  Nu dan sepmot Kb 4456 MJ, sepmot Kb 5391 MU, 6907 XX, sepmot KB 6628  SW, dan sepmot Kb  5924 HO yang datang dari arah yang beralwanan.</t>
  </si>
  <si>
    <t>Obat</t>
  </si>
  <si>
    <t>sepmot KB  5391 MU</t>
  </si>
  <si>
    <t xml:space="preserve"> Bripka  M Hadi , SH</t>
  </si>
  <si>
    <t>AJAY</t>
  </si>
  <si>
    <t>16 th</t>
  </si>
  <si>
    <t>pelajar</t>
  </si>
  <si>
    <t>Jl.Gs St mahmud  Ptk</t>
  </si>
  <si>
    <t>LR</t>
  </si>
  <si>
    <t>Pengemudi</t>
  </si>
  <si>
    <t>Pontianak</t>
  </si>
  <si>
    <t>06.00 Wib</t>
  </si>
  <si>
    <t>sepmot KB 4456 MJ</t>
  </si>
  <si>
    <t>DARATMAJA</t>
  </si>
  <si>
    <t>LJ</t>
  </si>
  <si>
    <t>43 th</t>
  </si>
  <si>
    <t>Polri</t>
  </si>
  <si>
    <t>Aspol ks Tubun  Kapuas Hulu</t>
  </si>
  <si>
    <t>sim C</t>
  </si>
  <si>
    <t>sepmot KB 5361  MU</t>
  </si>
  <si>
    <t>ADITYA PRAYOGA</t>
  </si>
  <si>
    <t>LK</t>
  </si>
  <si>
    <t>34 th</t>
  </si>
  <si>
    <t>Pelajar</t>
  </si>
  <si>
    <t>sepmot KB 6907 XX</t>
  </si>
  <si>
    <t>JUVITA</t>
  </si>
  <si>
    <t>PR</t>
  </si>
  <si>
    <t>Jl. Khatulistiwa gg  tel Betung 2 Ptk</t>
  </si>
  <si>
    <t>sepmot KB 6628 SW</t>
  </si>
  <si>
    <t>YANTI TOBING</t>
  </si>
  <si>
    <t>34th</t>
  </si>
  <si>
    <t>Jl. BudiUtomo Ptk</t>
  </si>
  <si>
    <t>Sim C</t>
  </si>
  <si>
    <t>sepmot KB 5924 HO</t>
  </si>
  <si>
    <t>YANDI</t>
  </si>
  <si>
    <t>Swasta</t>
  </si>
  <si>
    <t>Wajok  Kab mempah</t>
  </si>
  <si>
    <t>KORBAN</t>
  </si>
  <si>
    <t>TAHAPAN JPU</t>
  </si>
  <si>
    <t>Penyidik</t>
  </si>
  <si>
    <t>CIDERA</t>
  </si>
  <si>
    <t>KRONOLOGIS KEJADIAN</t>
  </si>
  <si>
    <t>FAKTOR</t>
  </si>
  <si>
    <t>NO</t>
  </si>
  <si>
    <t>T K P</t>
  </si>
  <si>
    <t>WAKTU</t>
  </si>
  <si>
    <t>RAN YG TERLIBAT</t>
  </si>
  <si>
    <t>TEFE</t>
  </si>
  <si>
    <t>RUGI</t>
  </si>
  <si>
    <t>LIDIK</t>
  </si>
  <si>
    <t>SIDIK</t>
  </si>
  <si>
    <t>THP-1</t>
  </si>
  <si>
    <t>THP-2</t>
  </si>
  <si>
    <t>P.21</t>
  </si>
  <si>
    <t>sp.3</t>
  </si>
  <si>
    <t>DIVERSI</t>
  </si>
  <si>
    <t>ADAT</t>
  </si>
  <si>
    <t>INTS</t>
  </si>
  <si>
    <t>IDENTITAS</t>
  </si>
  <si>
    <t>ALAMAT KORBAN</t>
  </si>
  <si>
    <t>STATUS</t>
  </si>
  <si>
    <t>status</t>
  </si>
  <si>
    <t>Kepemilikan</t>
  </si>
  <si>
    <t>KEJADIAN</t>
  </si>
  <si>
    <t>LAKA</t>
  </si>
  <si>
    <t>MD</t>
  </si>
  <si>
    <t>LB</t>
  </si>
  <si>
    <t>MATEREIL</t>
  </si>
  <si>
    <t>LAIN</t>
  </si>
  <si>
    <t>PELAKU/ KORBAN</t>
  </si>
  <si>
    <t>jalan</t>
  </si>
  <si>
    <t>sim</t>
  </si>
  <si>
    <t>SSK ( ADR )</t>
  </si>
  <si>
    <t>semot KB 6742 QJ</t>
  </si>
  <si>
    <t>depan</t>
  </si>
  <si>
    <t>Unit - 1</t>
  </si>
  <si>
    <t>A THOA</t>
  </si>
  <si>
    <t>depan maposek Timur</t>
  </si>
  <si>
    <t>sepmot KB 4165 WX</t>
  </si>
  <si>
    <t>Aipda Hariyono,SH</t>
  </si>
  <si>
    <t>PRADITA RIZKI PRATAMI</t>
  </si>
  <si>
    <t>19.00 Wib</t>
  </si>
  <si>
    <t>Mb BOX KB 8859 AJ</t>
  </si>
  <si>
    <t>JULIATI SUNYOTO</t>
  </si>
  <si>
    <t>TJIE LI LIE</t>
  </si>
  <si>
    <t>VERA</t>
  </si>
  <si>
    <t>48 th</t>
  </si>
  <si>
    <t>Jl. Budi Utomo Kop Purna jaya I Ptk</t>
  </si>
  <si>
    <t>TSK</t>
  </si>
  <si>
    <t>Jl.Nasional</t>
  </si>
  <si>
    <t>Mbil Box KB 8859  AS dari arah  Kota tujuan arah Siantan, sesamapinya di TKP dari arah berlawanan datang sepmot KB  4165  WX yang bersenggolan denggan sepmot KB  6742  QT dan jatuh ke kanan jalan, kerena jarak dekat kecelakan terjadi</t>
  </si>
  <si>
    <t>Pr</t>
  </si>
  <si>
    <t>23 Th</t>
  </si>
  <si>
    <t>swasta</t>
  </si>
  <si>
    <t>Jl. Tabrani ahmad gg berdikari 2 Ptk</t>
  </si>
  <si>
    <t>pengemudi</t>
  </si>
  <si>
    <t>21 Th</t>
  </si>
  <si>
    <t>IRT</t>
  </si>
  <si>
    <t>Komp pemda Blol I  Pontianak Utara</t>
  </si>
  <si>
    <t>TSk</t>
  </si>
  <si>
    <t>Jl. Johar gg pelangi</t>
  </si>
  <si>
    <t>Penumpang</t>
  </si>
  <si>
    <t>5 Th</t>
  </si>
  <si>
    <t>penumpang</t>
  </si>
  <si>
    <t>mendahului tidak cukup aman</t>
  </si>
  <si>
    <t>Selasa</t>
  </si>
  <si>
    <t>sepmot KB  6049 NC</t>
  </si>
  <si>
    <t>Unit - 2</t>
  </si>
  <si>
    <t>WALID ACHMAD</t>
  </si>
  <si>
    <t>dekat Polsek Timur</t>
  </si>
  <si>
    <t>sepmot KB</t>
  </si>
  <si>
    <t>Briptu Agung Setiawan</t>
  </si>
  <si>
    <t>09.00 Wib</t>
  </si>
  <si>
    <t>20 th</t>
  </si>
  <si>
    <t>Jl.  Parit pangeran  Gg Keluarga 03/10 Ptk</t>
  </si>
  <si>
    <t>Jl. nasional</t>
  </si>
  <si>
    <t>sepmot KB  6049 NC dari arah siantan tujuan arah  sultan hamid II, sesampainya di TKP di  depan ada sepmot yang membelok ke kanan, kerena jarak dekat laka terajdi</t>
  </si>
  <si>
    <t>kamis</t>
  </si>
  <si>
    <t>Mobil KB 1846 WD</t>
  </si>
  <si>
    <t>TJIN TJUNG</t>
  </si>
  <si>
    <t>62 TH</t>
  </si>
  <si>
    <t>Komp Villa Ria Indah K 20 Pontianak`</t>
  </si>
  <si>
    <t>Mobil KB 1846 WD dari arah Jl.pahlawan tujuan arah  sultan hamid II Pontianak, sesamapniya di TKP dari arah belakang di  salip sepmot da  berhenti di depan tujuan menghadang, kerena jarak dekat laka terjadi</t>
  </si>
  <si>
    <t>belakang</t>
  </si>
  <si>
    <t>Aipda Hariyono SH</t>
  </si>
  <si>
    <t>HERMANSYAH</t>
  </si>
  <si>
    <t>32 TH</t>
  </si>
  <si>
    <t>Ds Mega Timur Ptk</t>
  </si>
  <si>
    <t>21.05 Wib</t>
  </si>
  <si>
    <t>Tidak jaga jarak</t>
  </si>
  <si>
    <t>sepmot KB 5605HM</t>
  </si>
  <si>
    <t>Bripka M Hadi K, SH</t>
  </si>
  <si>
    <t>YUN RIANI</t>
  </si>
  <si>
    <t>pR</t>
  </si>
  <si>
    <t>26 tH</t>
  </si>
  <si>
    <t>Gg Teluk selamat  02/017 Ptk</t>
  </si>
  <si>
    <t>Jl. Nasional</t>
  </si>
  <si>
    <t>sepmot KB  5605 HM dari arah siantan tujuan arah jembatan kapuas, sesamapinya di TKP dari arah SPBU keluar sepmot yang tidak diketahui identitasnya menyeberang jalan, jarak  dekat kecelakan terjadi</t>
  </si>
  <si>
    <t>depan SPBU</t>
  </si>
  <si>
    <t xml:space="preserve">sepmot Kb </t>
  </si>
  <si>
    <t>Ptk</t>
  </si>
  <si>
    <t>07.45 Wib</t>
  </si>
  <si>
    <t>Tidak utamakan jalan lurus</t>
  </si>
  <si>
    <t>Minggu</t>
  </si>
  <si>
    <t>sepmot KB 3101 BA</t>
  </si>
  <si>
    <t>Bripka M Hadi K  SH</t>
  </si>
  <si>
    <t>HERKULANUS</t>
  </si>
  <si>
    <t>simapng Tanjung Hulu</t>
  </si>
  <si>
    <t>29/11/2020</t>
  </si>
  <si>
    <t>sepmot Mio</t>
  </si>
  <si>
    <t>PARDIANTO</t>
  </si>
  <si>
    <t>01.30 Wib</t>
  </si>
  <si>
    <t>YUDI WAHYUDI</t>
  </si>
  <si>
    <t>20 Th</t>
  </si>
  <si>
    <t>Dsn Dadayu  02/03 Kab Mempawah</t>
  </si>
  <si>
    <t>Pegemudi</t>
  </si>
  <si>
    <t>sepmot KB 3101 Badari arah  simpang tanjung raya tujuan arah simpang tanjung Hulu, sesampainya di TKP pada saat membelok ke kanan, dari arah jembatan landak datang sepmot Mio kecepatan tnggi, jarak dekat laka terjadi</t>
  </si>
  <si>
    <t>kecepatan</t>
  </si>
  <si>
    <t>22 Th</t>
  </si>
  <si>
    <t>dsn dadayu kab mempwah</t>
  </si>
  <si>
    <t>Penumpaang</t>
  </si>
  <si>
    <t>26 Th</t>
  </si>
  <si>
    <t>dsn Sidas Kab landak</t>
  </si>
  <si>
    <t xml:space="preserve">depan Polsek </t>
  </si>
  <si>
    <t>Jl. SulTan hamid depan STIEP Pontianak</t>
  </si>
  <si>
    <t xml:space="preserve">Jl.  Sultan hamid </t>
  </si>
  <si>
    <t xml:space="preserve">JL. Sultan Hamid </t>
  </si>
  <si>
    <t>Jl. Sultan hamid</t>
  </si>
  <si>
    <t>Samping</t>
  </si>
  <si>
    <t>TAHUN</t>
  </si>
  <si>
    <t>TINGKAT KEPARAHAN (ORANG)</t>
  </si>
  <si>
    <t>KERUGIAN MATERIAL</t>
  </si>
  <si>
    <t>433.100.000</t>
  </si>
  <si>
    <t>Ruas Jalan Sultan Hamid</t>
  </si>
  <si>
    <t>No.</t>
  </si>
  <si>
    <t>Bulan</t>
  </si>
  <si>
    <t>Jumlah Kejadian</t>
  </si>
  <si>
    <t>Januari</t>
  </si>
  <si>
    <t>Februari</t>
  </si>
  <si>
    <t>Maret</t>
  </si>
  <si>
    <t>April</t>
  </si>
  <si>
    <t>Mei</t>
  </si>
  <si>
    <t>Juni</t>
  </si>
  <si>
    <t>Juli</t>
  </si>
  <si>
    <t>Agustus</t>
  </si>
  <si>
    <t>September</t>
  </si>
  <si>
    <t>Oktober</t>
  </si>
  <si>
    <t>November</t>
  </si>
  <si>
    <t>Desember</t>
  </si>
  <si>
    <t>Tahun</t>
  </si>
  <si>
    <t>Kejadian Kecelakaan</t>
  </si>
  <si>
    <t>Waktu Kejadian</t>
  </si>
  <si>
    <t>00:00 - 06:00</t>
  </si>
  <si>
    <t>06:00 - 12:00</t>
  </si>
  <si>
    <t>12:00 - 18:00</t>
  </si>
  <si>
    <t>18:00 - 00:00</t>
  </si>
  <si>
    <t>Jumlah Usia Korban (Tahun)</t>
  </si>
  <si>
    <t>0 - 15</t>
  </si>
  <si>
    <t>16 – 20</t>
  </si>
  <si>
    <t>21 – 30</t>
  </si>
  <si>
    <t xml:space="preserve"> 31 – 40</t>
  </si>
  <si>
    <t>41 – 50</t>
  </si>
  <si>
    <t>50&gt;</t>
  </si>
  <si>
    <t>18 th</t>
  </si>
  <si>
    <t>15 th</t>
  </si>
  <si>
    <t>17 Th</t>
  </si>
  <si>
    <t>Jl. Sultan hamid depan STIEP Pontianak</t>
  </si>
  <si>
    <t>12.20 WIB</t>
  </si>
  <si>
    <t>sepmot KB  2318 LI</t>
  </si>
  <si>
    <t>sepmot KB  6732 SP</t>
  </si>
  <si>
    <t>Unit - 3</t>
  </si>
  <si>
    <t>SUGENG PRIYATNA</t>
  </si>
  <si>
    <t>Bripka  M Hadi K  SH</t>
  </si>
  <si>
    <t>ARIF  FIRMANSYAH</t>
  </si>
  <si>
    <t>ANISA IRYANI</t>
  </si>
  <si>
    <t>Jl. Teluk Selamat  dalam</t>
  </si>
  <si>
    <t>Tanpa</t>
  </si>
  <si>
    <t>Jl. Pramuka  Komp  naliska permai</t>
  </si>
  <si>
    <t>Jl. 28 oktober  Gg Kareterdes</t>
  </si>
  <si>
    <t>sepmot KB  2318  LI dari aeeah jembatan kapus I tujuan arah siantan, sesamapinya di TKP pada saat mendahlui mobil, dan terajdis enggolan sehingga sepmot KB 2318 Li terjatuh, dai arah berlwaanan datang sepmot KB  6732 SP, arak  dekat kecelakaan terajdi</t>
  </si>
  <si>
    <t>kurangnya jarak aman</t>
  </si>
  <si>
    <t>27.200.000</t>
  </si>
  <si>
    <t>JUMLAH KEJADIAN</t>
  </si>
  <si>
    <t>Jumlah Usia Pelaku (Tahun)</t>
  </si>
  <si>
    <t>No</t>
  </si>
  <si>
    <t>Lokasi Kejadian</t>
  </si>
  <si>
    <t>Meninggal Dunia</t>
  </si>
  <si>
    <t>Luka Berat</t>
  </si>
  <si>
    <t>Luka Ringan</t>
  </si>
  <si>
    <t xml:space="preserve">Jl. Sultan Hamid </t>
  </si>
  <si>
    <t>MOTOR</t>
  </si>
  <si>
    <t>MOBIL</t>
  </si>
  <si>
    <t xml:space="preserve">KECEPATAN </t>
  </si>
  <si>
    <t>Mobil</t>
  </si>
  <si>
    <t>Pickup</t>
  </si>
  <si>
    <t>Jenis Kendaraan</t>
  </si>
  <si>
    <t>Kec. Rata-rata</t>
  </si>
  <si>
    <t>Sepeda Motor</t>
  </si>
  <si>
    <t>PICKUP</t>
  </si>
  <si>
    <t>MIN</t>
  </si>
  <si>
    <t>MAX</t>
  </si>
  <si>
    <t>A - B = Masuk Kota Pontianak</t>
  </si>
  <si>
    <t>B - A = Keluar Kota Pontianak</t>
  </si>
  <si>
    <t>KECEPATAN SESAAT</t>
  </si>
  <si>
    <t xml:space="preserve">A - B  </t>
  </si>
  <si>
    <t xml:space="preserve">B - A </t>
  </si>
  <si>
    <t>KEC. 85</t>
  </si>
  <si>
    <t>KECEPATAN PERSENTIL 85</t>
  </si>
  <si>
    <t xml:space="preserve">A - B </t>
  </si>
  <si>
    <t>B - A</t>
  </si>
  <si>
    <t>NO.</t>
  </si>
  <si>
    <t>RENTANG KECEPATAN</t>
  </si>
  <si>
    <t>FREKUENSI</t>
  </si>
  <si>
    <t>41 - 50</t>
  </si>
  <si>
    <t>51 - 60</t>
  </si>
  <si>
    <t>61 - 70</t>
  </si>
  <si>
    <t>Kec. 85 Persentil</t>
  </si>
  <si>
    <t>Korban</t>
  </si>
  <si>
    <t>Penyebab</t>
  </si>
  <si>
    <t>Lelah</t>
  </si>
  <si>
    <t>Tidak Konsentrasi</t>
  </si>
  <si>
    <t xml:space="preserve">Pelaku </t>
  </si>
  <si>
    <t>Kecepatan tinggi</t>
  </si>
  <si>
    <t>Tidak memperhatikan jarak aman</t>
  </si>
  <si>
    <t>Tidak tertib</t>
  </si>
  <si>
    <t>Waktu kejadian</t>
  </si>
  <si>
    <t>Mengomsumsi minuman beralkohol</t>
  </si>
  <si>
    <t>√</t>
  </si>
  <si>
    <t>×</t>
  </si>
  <si>
    <t>Senin, 13 Januari 2020 (06:00 WIB)</t>
  </si>
  <si>
    <t>Senin, 16 Maret 2020 (19:00 WIB)</t>
  </si>
  <si>
    <t>Selasa, 03 Maret 2020 (09:00 WIB)</t>
  </si>
  <si>
    <t>-</t>
  </si>
  <si>
    <t>Kamis, 16 April 2020 (21:05 WIB)</t>
  </si>
  <si>
    <t>Selasa, 13 Oktober 2020 (07:45 WIB)</t>
  </si>
  <si>
    <t>Minggu, 29 November 2020 (01:30 WIB)</t>
  </si>
  <si>
    <t>Minggu, 13 September 2020 (12:20 WIB)</t>
  </si>
  <si>
    <t>fm</t>
  </si>
  <si>
    <t>Sepeda motor</t>
  </si>
  <si>
    <t>Arah Masuk Kota Pontianak</t>
  </si>
  <si>
    <t>KECEPATAN RENCANA</t>
  </si>
  <si>
    <t>Fm</t>
  </si>
  <si>
    <t>D</t>
  </si>
  <si>
    <t>25-30</t>
  </si>
  <si>
    <t>40-45</t>
  </si>
  <si>
    <t>55-65</t>
  </si>
  <si>
    <t>75-85</t>
  </si>
  <si>
    <t>95-110</t>
  </si>
  <si>
    <t>120-140</t>
  </si>
  <si>
    <t>175-210</t>
  </si>
  <si>
    <t>240-285</t>
  </si>
  <si>
    <t>sumber : AASHTO'90</t>
  </si>
  <si>
    <t>fm  = koefisien gesekan antara ban dan muka Jalan dalam arah memanJangJalan</t>
  </si>
  <si>
    <t>d  = Jarak pandang henti minimum (m)</t>
  </si>
  <si>
    <t>V  = kecepatan kendaraan (km/Jam)</t>
  </si>
  <si>
    <t>t    = waktu reaksi (2,5)</t>
  </si>
  <si>
    <r>
      <t>d = 0,278 V.t + V</t>
    </r>
    <r>
      <rPr>
        <b/>
        <vertAlign val="superscript"/>
        <sz val="17"/>
        <color rgb="FF000000"/>
        <rFont val="Calibri"/>
        <family val="2"/>
        <scheme val="minor"/>
      </rPr>
      <t>2</t>
    </r>
    <r>
      <rPr>
        <b/>
        <sz val="17"/>
        <color rgb="FF000000"/>
        <rFont val="Calibri"/>
        <family val="2"/>
        <scheme val="minor"/>
      </rPr>
      <t>/254 fm</t>
    </r>
  </si>
  <si>
    <t>FREKUENSI KUMULATIF</t>
  </si>
  <si>
    <t>PERSENTASE</t>
  </si>
  <si>
    <t>A - B</t>
  </si>
  <si>
    <t>Jumlah</t>
  </si>
  <si>
    <t>KECEPATAN</t>
  </si>
  <si>
    <t>PRESENTASE</t>
  </si>
  <si>
    <t>JUMLAH</t>
  </si>
  <si>
    <t xml:space="preserve">MOTOR </t>
  </si>
  <si>
    <t>PICK UP</t>
  </si>
  <si>
    <t>Proporsi Tipe Tabrakan</t>
  </si>
  <si>
    <t>Tipe Tabrakan</t>
  </si>
  <si>
    <t>Depan - Depan</t>
  </si>
  <si>
    <t>Depan - Samping</t>
  </si>
  <si>
    <t>Depan - Belakang</t>
  </si>
  <si>
    <t>Tabrak Manusia</t>
  </si>
  <si>
    <t>Kecelakaan Tunggal</t>
  </si>
  <si>
    <t>Samping - Samping</t>
  </si>
  <si>
    <t>Tabrak Properti</t>
  </si>
  <si>
    <t>Hilang kendali</t>
  </si>
  <si>
    <t>Persentase</t>
  </si>
  <si>
    <t>Proporsi Penyebab Kecelakaan</t>
  </si>
  <si>
    <t>Penyebab Kecelakaan</t>
  </si>
  <si>
    <t>Kecepatan Tinggi</t>
  </si>
  <si>
    <t>43-48</t>
  </si>
  <si>
    <t>49-54</t>
  </si>
  <si>
    <t>55-61</t>
  </si>
  <si>
    <t>62-67</t>
  </si>
  <si>
    <t>68-73</t>
  </si>
  <si>
    <t>46-51</t>
  </si>
  <si>
    <t>52-57</t>
  </si>
  <si>
    <t>58-64</t>
  </si>
  <si>
    <t>57,93 = 58</t>
  </si>
  <si>
    <t>35-40</t>
  </si>
  <si>
    <t>41-46</t>
  </si>
  <si>
    <t>47-52</t>
  </si>
  <si>
    <t>53-58</t>
  </si>
  <si>
    <t>51-56</t>
  </si>
  <si>
    <t>58-63</t>
  </si>
  <si>
    <t>64-69</t>
  </si>
  <si>
    <t>39-44</t>
  </si>
  <si>
    <t>45-50</t>
  </si>
  <si>
    <t>SEGMEN 1</t>
  </si>
  <si>
    <t>Segmen 2</t>
  </si>
  <si>
    <t>56,75 = 57</t>
  </si>
  <si>
    <t>49,75 = 50</t>
  </si>
  <si>
    <t>48,6 = 49</t>
  </si>
  <si>
    <t>38-43</t>
  </si>
  <si>
    <t>44-49</t>
  </si>
  <si>
    <t>50-55</t>
  </si>
  <si>
    <t>56-61</t>
  </si>
  <si>
    <t>57,6 = 58</t>
  </si>
  <si>
    <t>59-64</t>
  </si>
  <si>
    <t>56,8 = 57</t>
  </si>
  <si>
    <t>46,5 = 47</t>
  </si>
  <si>
    <r>
      <t>d = 0,278 V.t + V</t>
    </r>
    <r>
      <rPr>
        <b/>
        <vertAlign val="superscript"/>
        <sz val="10"/>
        <color rgb="FF000000"/>
        <rFont val="Tahoma"/>
        <family val="2"/>
      </rPr>
      <t>2</t>
    </r>
    <r>
      <rPr>
        <b/>
        <sz val="10"/>
        <color rgb="FF000000"/>
        <rFont val="Tahoma"/>
        <family val="2"/>
      </rPr>
      <t>/254 fm</t>
    </r>
  </si>
  <si>
    <t>Kendaraan</t>
  </si>
  <si>
    <t>Kecepatan Rencana(Km/jam)</t>
  </si>
  <si>
    <t>Kecepatan persentil 85(Km/jam)</t>
  </si>
  <si>
    <t>JPM Min.(m)</t>
  </si>
  <si>
    <t>JPM Min. (m)</t>
  </si>
  <si>
    <t>Segmen 1</t>
  </si>
  <si>
    <t>Batas Kecepatan menurut PM 111 tahun 2015</t>
  </si>
  <si>
    <t>Jalan Arteri Primer</t>
  </si>
  <si>
    <t>Kondisi jalan</t>
  </si>
  <si>
    <t>Jalur cepat</t>
  </si>
  <si>
    <t>Jalur lambat</t>
  </si>
  <si>
    <t>Ada median</t>
  </si>
  <si>
    <t xml:space="preserve">Mobil </t>
  </si>
  <si>
    <t>Motor</t>
  </si>
  <si>
    <t xml:space="preserve">Batas Kecepatan </t>
  </si>
  <si>
    <t>Tidak ada median</t>
  </si>
  <si>
    <t>Kawasan Industri</t>
  </si>
  <si>
    <t>Kawasan Pusat Kegiatan</t>
  </si>
  <si>
    <t>Kawasan Permukiman</t>
  </si>
  <si>
    <t>Kawasan Sekolah</t>
  </si>
  <si>
    <t>Jam Kerja/masuk sekolah</t>
  </si>
  <si>
    <t>Jam tidak Kerja/masuk sekolah</t>
  </si>
  <si>
    <t>80 Km/jam</t>
  </si>
  <si>
    <t>60 Km/jam</t>
  </si>
  <si>
    <t>50 - 30 Km/jam</t>
  </si>
  <si>
    <t>40 Km/jam</t>
  </si>
  <si>
    <t>80 - 60 Km/jam</t>
  </si>
  <si>
    <t>30 Km/jam</t>
  </si>
  <si>
    <t>Panjang Jd untuk jalan perkotaan</t>
  </si>
  <si>
    <t>Vr Km/jam</t>
  </si>
  <si>
    <t>Jd Standar (m)</t>
  </si>
  <si>
    <t>Jd min (m)</t>
  </si>
  <si>
    <t>Kecelakaan pada ruas Jalan Sultan Hamid</t>
  </si>
  <si>
    <t>Jumlah kecelakaan</t>
  </si>
  <si>
    <t>Tingkat Keparahan</t>
  </si>
  <si>
    <t>Segmen (km)</t>
  </si>
  <si>
    <t>0 - 0,3</t>
  </si>
  <si>
    <t>0,3 - 0,6</t>
  </si>
  <si>
    <t>0,6 - 0,9</t>
  </si>
  <si>
    <t>0,9 - 1,2</t>
  </si>
  <si>
    <t>1,2 - 1,5</t>
  </si>
  <si>
    <t xml:space="preserve">Rekapan Kecepatan percentile 85 </t>
  </si>
  <si>
    <t>Arah masuk (Km/jam)</t>
  </si>
  <si>
    <t>Arah keluar (Km/jam)</t>
  </si>
  <si>
    <t>Kecepatan maks.</t>
  </si>
  <si>
    <t>Arah</t>
  </si>
  <si>
    <t>Masuk</t>
  </si>
  <si>
    <t>Kec. Maks</t>
  </si>
  <si>
    <t>Kec. Min</t>
  </si>
  <si>
    <t>Keluar</t>
  </si>
  <si>
    <t xml:space="preserve">40 - 45 </t>
  </si>
  <si>
    <t>Kec. Rencana (Km/jam)</t>
  </si>
  <si>
    <t>Kec. 85 persentil (Km/jam)</t>
  </si>
  <si>
    <t>Arah keluar Kota Pontianak</t>
  </si>
  <si>
    <t>standar perencanaan geometrik untuk jalan perkotaan, 1992</t>
  </si>
  <si>
    <t>Uraian</t>
  </si>
  <si>
    <t>Standar (m)</t>
  </si>
  <si>
    <t>Keterangan</t>
  </si>
  <si>
    <t>Lebar Lajur</t>
  </si>
  <si>
    <t>Kurang sesuai dengan standar</t>
  </si>
  <si>
    <t>Bahu Jalan</t>
  </si>
  <si>
    <t>Nama Aspek</t>
  </si>
  <si>
    <t>Dokumentasi</t>
  </si>
  <si>
    <t>Kondisi saat ini</t>
  </si>
  <si>
    <t>Regulation Road</t>
  </si>
  <si>
    <t>Self Explaining Road</t>
  </si>
  <si>
    <t>Forgiving Road</t>
  </si>
  <si>
    <t>_</t>
  </si>
  <si>
    <t xml:space="preserve">Kondisi baik dan belum ada kerusakan </t>
  </si>
  <si>
    <t>Tidak terdapat aturan pada ruas jalan tersebut seperti rambu jalan dll</t>
  </si>
  <si>
    <r>
      <t xml:space="preserve">Sudah terdapat </t>
    </r>
    <r>
      <rPr>
        <i/>
        <sz val="10"/>
        <color theme="1"/>
        <rFont val="Tahoma"/>
        <family val="2"/>
      </rPr>
      <t xml:space="preserve">Delineator </t>
    </r>
    <r>
      <rPr>
        <sz val="10"/>
        <color theme="1"/>
        <rFont val="Tahoma"/>
        <family val="2"/>
      </rPr>
      <t>tetapi perlu perbaikan karena terdapat beberapa delineator yang mengalami kerusakan dan terdapat benda benda yang menghalangi deleniator tersebut</t>
    </r>
  </si>
  <si>
    <t>342,57</t>
  </si>
  <si>
    <t>342,58</t>
  </si>
  <si>
    <t>270,05</t>
  </si>
  <si>
    <t>328,37</t>
  </si>
  <si>
    <t>322,70</t>
  </si>
  <si>
    <t>231,74</t>
  </si>
  <si>
    <t>Jarak Aman Henti</t>
  </si>
  <si>
    <t>Jarak Aman menyiap</t>
  </si>
  <si>
    <t>Lebar Trotoar</t>
  </si>
  <si>
    <t>Lebar Drainase</t>
  </si>
  <si>
    <t>sudah sesuai</t>
  </si>
  <si>
    <t>Kondisi dilapangan (m)</t>
  </si>
  <si>
    <t xml:space="preserve">Tidak sesuai </t>
  </si>
  <si>
    <t>Kawasan perkotaan</t>
  </si>
  <si>
    <t>50 km/jam</t>
  </si>
  <si>
    <t xml:space="preserve">GAP </t>
  </si>
  <si>
    <t>GAP</t>
  </si>
  <si>
    <t>AEK/APW</t>
  </si>
  <si>
    <t>Potensi Hazard</t>
  </si>
  <si>
    <t>Nilai</t>
  </si>
  <si>
    <t>Nilai Potensi Hazard</t>
  </si>
  <si>
    <t>Rambu</t>
  </si>
  <si>
    <t>Marka tepi kanan</t>
  </si>
  <si>
    <t>Marka tepi kiri</t>
  </si>
  <si>
    <t>Marka pemisah jalur</t>
  </si>
  <si>
    <t>U-Turn</t>
  </si>
  <si>
    <t>Simpang</t>
  </si>
  <si>
    <t>Lampu jalan</t>
  </si>
  <si>
    <t>Bahu jalan</t>
  </si>
  <si>
    <t>Hambatan samping</t>
  </si>
  <si>
    <t>Kondisi permukaan Jalan</t>
  </si>
  <si>
    <t xml:space="preserve">Ket: </t>
  </si>
  <si>
    <t>1 = baik, 0 = buruk (dummy Variabel)</t>
  </si>
  <si>
    <t>Peran menghubungkan</t>
  </si>
  <si>
    <t>Pengelompokan fungsi jalan</t>
  </si>
  <si>
    <t>Status penyenggaraan jalan</t>
  </si>
  <si>
    <t>Kelas</t>
  </si>
  <si>
    <t>III</t>
  </si>
  <si>
    <t>Tipe Jalan</t>
  </si>
  <si>
    <t>Rentang Vd, Km/jam</t>
  </si>
  <si>
    <t xml:space="preserve">IKP - IKP </t>
  </si>
  <si>
    <t>Jl. Perintis/Ex. Jalan. Daerah</t>
  </si>
  <si>
    <t>2/2 TT</t>
  </si>
  <si>
    <t>Datar (15 - 60) Km/jam</t>
  </si>
  <si>
    <t>Menurut Pedoman</t>
  </si>
  <si>
    <t>Menurut situasi dilapangan</t>
  </si>
  <si>
    <t>Datar 40 Km/jam</t>
  </si>
  <si>
    <t>Usulan Penanganan</t>
  </si>
  <si>
    <t>Permasalahan</t>
  </si>
  <si>
    <t>Jarak aman yang tidak ideal menurut pedoman</t>
  </si>
  <si>
    <t>Tidak terdapat rambu</t>
  </si>
  <si>
    <t>Kondisi marka yang sudah mulai pudar</t>
  </si>
  <si>
    <t>Kondisi lajur yang tidak sesuai dan tidak ada trotoar</t>
  </si>
  <si>
    <t>Pengendara tidak berkonsentrasi karena mabuk</t>
  </si>
  <si>
    <t>Melakukan penegakan hukum dari pihak kepolisian, melakukan program kampanye keselamatan, memperdayakan pengaruh dari orangtua</t>
  </si>
  <si>
    <r>
      <t xml:space="preserve">Pemasangan rambu batas kecepatan, pemasangan </t>
    </r>
    <r>
      <rPr>
        <i/>
        <sz val="10"/>
        <color theme="1"/>
        <rFont val="Tahoma"/>
        <family val="2"/>
      </rPr>
      <t>Rumble Strep</t>
    </r>
    <r>
      <rPr>
        <sz val="10"/>
        <color theme="1"/>
        <rFont val="Tahoma"/>
        <family val="2"/>
      </rPr>
      <t xml:space="preserve">, pemasangan </t>
    </r>
    <r>
      <rPr>
        <i/>
        <sz val="10"/>
        <color theme="1"/>
        <rFont val="Tahoma"/>
        <family val="2"/>
      </rPr>
      <t>Speed Camera</t>
    </r>
  </si>
  <si>
    <t>Pemasangan rambu batas kecepatan agar jarak aman sesuai dengan kecepatan rencana</t>
  </si>
  <si>
    <t>Pemasangan rambu yang sesuai dengan permasalahan yang ada pada ruas tersebut</t>
  </si>
  <si>
    <t>Perbaikan dan pengecatanulang pada marka</t>
  </si>
  <si>
    <t>Pelebaran lajur dan pembuatan trotoar</t>
  </si>
  <si>
    <r>
      <t xml:space="preserve">Tidak memenuhi aspek </t>
    </r>
    <r>
      <rPr>
        <i/>
        <sz val="10"/>
        <color theme="1"/>
        <rFont val="Tahoma"/>
        <family val="2"/>
      </rPr>
      <t xml:space="preserve">Regulation Road dan </t>
    </r>
    <r>
      <rPr>
        <sz val="10"/>
        <color theme="1"/>
        <rFont val="Tahoma"/>
        <family val="2"/>
      </rPr>
      <t xml:space="preserve">aspek </t>
    </r>
    <r>
      <rPr>
        <i/>
        <sz val="10"/>
        <color theme="1"/>
        <rFont val="Tahoma"/>
        <family val="2"/>
      </rPr>
      <t>Forgiving Road</t>
    </r>
  </si>
  <si>
    <t>Pemasangan rambu sebagai aturan pada ruas jalan ini, perbaikan terhadap delineator yang rusak</t>
  </si>
  <si>
    <t>Batas kecepatan</t>
  </si>
  <si>
    <t>Batas Kecepatan</t>
  </si>
  <si>
    <t>Tingkat pengurangan</t>
  </si>
  <si>
    <t>Tipe Penanganan</t>
  </si>
  <si>
    <t>Menurunkan kecelakaan 7 sampai dengan 46%</t>
  </si>
  <si>
    <t xml:space="preserve">Marka pada KM 0,9-1,5 sudah mulai memudar </t>
  </si>
  <si>
    <t>Untuk mengurangi kecelakaan pada saat menyalip sebuah kendaraan</t>
  </si>
  <si>
    <t>Melakukan kanalisasi/pelajuran dengan marka</t>
  </si>
  <si>
    <t>Tujuan penanganan</t>
  </si>
  <si>
    <t>Pengendara memacu kendaraan dengan kecepatan tinggi</t>
  </si>
  <si>
    <t>Mengurangi 19% meninggal dunia, 29% luka berat, 66% luka ringan</t>
  </si>
  <si>
    <t>Untuk mengurangi kecelakaan yang disebabkan oleh kecepatan tinggi</t>
  </si>
  <si>
    <t>Pengendara yang tidak memperhatikan keselamatan berkendara</t>
  </si>
  <si>
    <t>Melakukan Patroli dan kampanye keselamatan dari pihak Kepolisian</t>
  </si>
  <si>
    <t>Untuk membuat pengendara lebih meningkatkan keselamatan saat berkendara</t>
  </si>
  <si>
    <t>Memperdayakan faktor dari keluarga dalam membina perilaku manusianya</t>
  </si>
  <si>
    <t>Untuk mengurangi kecelakaan yang disebabkan oleh keadaan tidak sadar dalam berkendara</t>
  </si>
  <si>
    <t>Penambahan rambu batas kecepatan dan pita pengaduh</t>
  </si>
  <si>
    <t>Terdapat pengendara yang mengendarai kendaraan dalam kondisi mabuk/tidak konsentrasi</t>
  </si>
  <si>
    <t>Segmen</t>
  </si>
  <si>
    <t>Kelas kerusakan</t>
  </si>
  <si>
    <t>Ukuran</t>
  </si>
  <si>
    <t>Jenis Kerusakan</t>
  </si>
  <si>
    <t>P(m)</t>
  </si>
  <si>
    <t>L(m)</t>
  </si>
  <si>
    <t>D(mm)</t>
  </si>
  <si>
    <t>A(M2)</t>
  </si>
  <si>
    <t>L</t>
  </si>
  <si>
    <t>Tambalan</t>
  </si>
  <si>
    <t>Retak buaya</t>
  </si>
  <si>
    <t>Segmen 3</t>
  </si>
  <si>
    <t>Segmen 4</t>
  </si>
  <si>
    <t>M</t>
  </si>
  <si>
    <t>Segmen 5</t>
  </si>
  <si>
    <t>Density</t>
  </si>
  <si>
    <t>Deduct Value</t>
  </si>
  <si>
    <t>H</t>
  </si>
  <si>
    <t>q</t>
  </si>
  <si>
    <t>Total Deduct Value</t>
  </si>
  <si>
    <t>Corect Deduct Value</t>
  </si>
  <si>
    <t>PCI</t>
  </si>
  <si>
    <t>Tingkat Kerusakan</t>
  </si>
  <si>
    <t>Sempurna</t>
  </si>
  <si>
    <t>Sangat baik</t>
  </si>
  <si>
    <t>High Deduct Value</t>
  </si>
  <si>
    <t>Kondisi lajur dan bahu jalan kurang sesuai</t>
  </si>
  <si>
    <t xml:space="preserve">Melakukan pelebaran lajur dan bahu jalan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</si>
</sst>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13809]dd\ mmmm\ yyyy;@"/>
    <numFmt numFmtId="165" formatCode="[$-13809]dd/mm/yyyy;@"/>
    <numFmt numFmtId="166" formatCode="0.000"/>
    <numFmt numFmtId="167" formatCode="_(* #,##0.000_);_(* \(#,##0.000\);_(* &quot;-&quot;??_);_(@_)"/>
  </numFmts>
  <fonts count="31" x14ac:knownFonts="1">
    <font>
      <sz val="11"/>
      <color theme="1"/>
      <name val="Calibri"/>
      <family val="2"/>
      <scheme val="minor"/>
    </font>
    <font>
      <sz val="10"/>
      <name val="Arial"/>
      <family val="2"/>
    </font>
    <font>
      <sz val="10"/>
      <name val="Arial"/>
      <family val="2"/>
    </font>
    <font>
      <b/>
      <sz val="8"/>
      <name val="Arial"/>
      <family val="2"/>
    </font>
    <font>
      <sz val="8"/>
      <name val="Arial"/>
      <family val="2"/>
    </font>
    <font>
      <sz val="10"/>
      <name val="Times New Roman"/>
      <family val="1"/>
    </font>
    <font>
      <b/>
      <sz val="8"/>
      <color theme="1"/>
      <name val="Arial"/>
      <family val="2"/>
    </font>
    <font>
      <sz val="11"/>
      <color theme="1"/>
      <name val="Tahoma"/>
      <family val="2"/>
    </font>
    <font>
      <sz val="11"/>
      <name val="Tahoma"/>
      <family val="2"/>
    </font>
    <font>
      <sz val="11"/>
      <color rgb="FF000000"/>
      <name val="Tahoma"/>
      <family val="2"/>
    </font>
    <font>
      <sz val="10"/>
      <color theme="1"/>
      <name val="Arial"/>
      <family val="2"/>
    </font>
    <font>
      <sz val="10"/>
      <color theme="1"/>
      <name val="Tahoma"/>
      <family val="2"/>
    </font>
    <font>
      <b/>
      <sz val="10"/>
      <color theme="1"/>
      <name val="Tahoma"/>
      <family val="2"/>
    </font>
    <font>
      <sz val="11"/>
      <color theme="1"/>
      <name val="Calibri"/>
      <family val="2"/>
      <scheme val="minor"/>
    </font>
    <font>
      <sz val="10"/>
      <name val="Tahoma"/>
      <family val="2"/>
    </font>
    <font>
      <sz val="8"/>
      <color theme="1"/>
      <name val="Tahoma"/>
      <family val="2"/>
    </font>
    <font>
      <sz val="8"/>
      <name val="Tahoma"/>
      <family val="2"/>
    </font>
    <font>
      <b/>
      <sz val="17"/>
      <color rgb="FF000000"/>
      <name val="Calibri"/>
      <family val="2"/>
      <scheme val="minor"/>
    </font>
    <font>
      <b/>
      <vertAlign val="superscript"/>
      <sz val="17"/>
      <color rgb="FF000000"/>
      <name val="Calibri"/>
      <family val="2"/>
      <scheme val="minor"/>
    </font>
    <font>
      <b/>
      <sz val="10"/>
      <color theme="1"/>
      <name val="Times New Roman"/>
      <family val="1"/>
    </font>
    <font>
      <sz val="10"/>
      <color theme="1"/>
      <name val="Times New Roman"/>
      <family val="1"/>
    </font>
    <font>
      <i/>
      <sz val="10"/>
      <color theme="1"/>
      <name val="Times New Roman"/>
      <family val="1"/>
    </font>
    <font>
      <sz val="9"/>
      <color theme="1"/>
      <name val="Tahoma"/>
      <family val="2"/>
    </font>
    <font>
      <b/>
      <sz val="10"/>
      <color rgb="FF000000"/>
      <name val="Tahoma"/>
      <family val="2"/>
    </font>
    <font>
      <b/>
      <vertAlign val="superscript"/>
      <sz val="10"/>
      <color rgb="FF000000"/>
      <name val="Tahoma"/>
      <family val="2"/>
    </font>
    <font>
      <b/>
      <sz val="8"/>
      <color theme="1"/>
      <name val="Tahoma"/>
      <family val="2"/>
    </font>
    <font>
      <i/>
      <sz val="10"/>
      <color theme="1"/>
      <name val="Tahoma"/>
      <family val="2"/>
    </font>
    <font>
      <sz val="11"/>
      <color rgb="FF2A2A2A"/>
      <name val="Arial"/>
      <family val="2"/>
    </font>
    <font>
      <u/>
      <sz val="11"/>
      <color theme="10"/>
      <name val="Calibri"/>
      <family val="2"/>
      <scheme val="minor"/>
    </font>
    <font>
      <b/>
      <i/>
      <sz val="10"/>
      <color theme="1"/>
      <name val="Tahoma"/>
      <family val="2"/>
    </font>
    <font>
      <b/>
      <sz val="11"/>
      <color theme="1"/>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2"/>
        <bgColor indexed="64"/>
      </patternFill>
    </fill>
    <fill>
      <patternFill patternType="solid">
        <fgColor theme="4" tint="0.59999389629810485"/>
        <bgColor indexed="64"/>
      </patternFill>
    </fill>
    <fill>
      <patternFill patternType="solid">
        <fgColor theme="4"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diagonal/>
    </border>
  </borders>
  <cellStyleXfs count="6">
    <xf numFmtId="0" fontId="0" fillId="0" borderId="0"/>
    <xf numFmtId="0" fontId="1"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28" fillId="0" borderId="0" applyNumberFormat="0" applyFill="0" applyBorder="0" applyAlignment="0" applyProtection="0"/>
  </cellStyleXfs>
  <cellXfs count="656">
    <xf numFmtId="0" fontId="0" fillId="0" borderId="0" xfId="0"/>
    <xf numFmtId="0" fontId="1" fillId="2" borderId="3" xfId="1" applyFill="1" applyBorder="1" applyAlignment="1">
      <alignment horizontal="center"/>
    </xf>
    <xf numFmtId="0" fontId="1" fillId="2" borderId="7" xfId="1" applyFill="1" applyBorder="1"/>
    <xf numFmtId="0" fontId="1" fillId="2" borderId="8" xfId="1" applyFill="1" applyBorder="1"/>
    <xf numFmtId="0" fontId="3" fillId="2" borderId="9" xfId="1" applyFont="1" applyFill="1" applyBorder="1" applyAlignment="1">
      <alignment horizontal="center" vertical="center"/>
    </xf>
    <xf numFmtId="0" fontId="3" fillId="2" borderId="10" xfId="1" applyFont="1" applyFill="1" applyBorder="1" applyAlignment="1">
      <alignment horizontal="center" vertical="center"/>
    </xf>
    <xf numFmtId="0" fontId="1" fillId="2" borderId="11" xfId="1" applyFill="1" applyBorder="1"/>
    <xf numFmtId="0" fontId="1" fillId="2" borderId="12" xfId="1" applyFill="1" applyBorder="1" applyAlignment="1">
      <alignment horizontal="center"/>
    </xf>
    <xf numFmtId="0" fontId="1" fillId="2" borderId="8" xfId="1" applyFill="1" applyBorder="1" applyAlignment="1">
      <alignment horizontal="center"/>
    </xf>
    <xf numFmtId="0" fontId="1" fillId="2" borderId="13" xfId="1" applyFill="1" applyBorder="1" applyAlignment="1">
      <alignment horizontal="center"/>
    </xf>
    <xf numFmtId="0" fontId="1" fillId="2" borderId="12" xfId="1" applyFill="1" applyBorder="1"/>
    <xf numFmtId="0" fontId="2" fillId="2" borderId="14" xfId="1" applyFont="1" applyFill="1" applyBorder="1" applyAlignment="1">
      <alignment horizontal="center" vertical="center"/>
    </xf>
    <xf numFmtId="0" fontId="1" fillId="2" borderId="15" xfId="1" applyFill="1" applyBorder="1" applyAlignment="1">
      <alignment horizontal="center"/>
    </xf>
    <xf numFmtId="0" fontId="1" fillId="2" borderId="2" xfId="1" applyFill="1" applyBorder="1" applyAlignment="1">
      <alignment horizontal="center"/>
    </xf>
    <xf numFmtId="0" fontId="1" fillId="2" borderId="3" xfId="1" applyFill="1" applyBorder="1" applyAlignment="1">
      <alignment horizontal="center" vertical="center"/>
    </xf>
    <xf numFmtId="0" fontId="4" fillId="2" borderId="1" xfId="1" applyFont="1" applyFill="1" applyBorder="1" applyAlignment="1">
      <alignment horizontal="center" vertical="center"/>
    </xf>
    <xf numFmtId="0" fontId="3" fillId="2" borderId="0" xfId="1" applyFont="1" applyFill="1" applyAlignment="1">
      <alignment horizontal="center" vertical="center"/>
    </xf>
    <xf numFmtId="0" fontId="3" fillId="2" borderId="3" xfId="1" applyFont="1" applyFill="1" applyBorder="1" applyAlignment="1">
      <alignment horizontal="center" vertical="center"/>
    </xf>
    <xf numFmtId="0" fontId="1" fillId="2" borderId="18" xfId="1" applyFill="1" applyBorder="1" applyAlignment="1">
      <alignment horizontal="center"/>
    </xf>
    <xf numFmtId="0" fontId="1" fillId="2" borderId="14" xfId="1" applyFill="1" applyBorder="1"/>
    <xf numFmtId="0" fontId="3" fillId="2" borderId="15" xfId="1" applyFont="1" applyFill="1" applyBorder="1" applyAlignment="1">
      <alignment horizontal="center" vertical="center"/>
    </xf>
    <xf numFmtId="0" fontId="4" fillId="2" borderId="5" xfId="1" applyFont="1" applyFill="1" applyBorder="1" applyAlignment="1">
      <alignment horizontal="center" vertical="center"/>
    </xf>
    <xf numFmtId="0" fontId="6" fillId="5" borderId="19" xfId="1" applyFont="1" applyFill="1" applyBorder="1" applyAlignment="1">
      <alignment horizontal="center" vertical="center"/>
    </xf>
    <xf numFmtId="0" fontId="6" fillId="5" borderId="20" xfId="1" applyFont="1" applyFill="1" applyBorder="1" applyAlignment="1">
      <alignment horizontal="center" vertical="center" wrapText="1"/>
    </xf>
    <xf numFmtId="0" fontId="6" fillId="5" borderId="20" xfId="1" applyFont="1" applyFill="1" applyBorder="1" applyAlignment="1">
      <alignment horizontal="center" vertical="center"/>
    </xf>
    <xf numFmtId="0" fontId="1" fillId="0" borderId="1" xfId="1" applyFill="1" applyBorder="1" applyAlignment="1">
      <alignment horizontal="center" vertical="center" wrapText="1"/>
    </xf>
    <xf numFmtId="0" fontId="1" fillId="0" borderId="1" xfId="1" applyBorder="1"/>
    <xf numFmtId="0" fontId="5" fillId="0" borderId="1" xfId="1" applyFont="1" applyBorder="1" applyAlignment="1">
      <alignment horizontal="center" vertical="center"/>
    </xf>
    <xf numFmtId="0" fontId="1" fillId="2" borderId="3" xfId="1" applyFill="1" applyBorder="1" applyAlignment="1">
      <alignment horizontal="center"/>
    </xf>
    <xf numFmtId="0" fontId="1" fillId="0" borderId="1" xfId="1" applyBorder="1" applyAlignment="1">
      <alignment horizontal="center" vertical="center"/>
    </xf>
    <xf numFmtId="0" fontId="1" fillId="0" borderId="1" xfId="1" applyBorder="1" applyAlignment="1">
      <alignment vertical="center"/>
    </xf>
    <xf numFmtId="0" fontId="3" fillId="2" borderId="9" xfId="1" applyFont="1" applyFill="1" applyBorder="1" applyAlignment="1">
      <alignment horizontal="center" vertical="center"/>
    </xf>
    <xf numFmtId="0" fontId="3" fillId="2" borderId="10" xfId="1" applyFont="1" applyFill="1" applyBorder="1" applyAlignment="1">
      <alignment horizontal="center" vertical="center"/>
    </xf>
    <xf numFmtId="0" fontId="5" fillId="0" borderId="1" xfId="1" applyFont="1" applyBorder="1" applyAlignment="1">
      <alignment horizontal="center" vertical="center" wrapText="1"/>
    </xf>
    <xf numFmtId="0" fontId="2" fillId="0" borderId="1" xfId="1" applyFont="1" applyBorder="1" applyAlignment="1">
      <alignment horizontal="left" vertical="center" wrapText="1"/>
    </xf>
    <xf numFmtId="0" fontId="5" fillId="0" borderId="1" xfId="1" applyFont="1" applyBorder="1" applyAlignment="1">
      <alignment horizontal="left" vertical="center" wrapText="1"/>
    </xf>
    <xf numFmtId="0" fontId="2" fillId="0" borderId="1" xfId="1" applyFont="1" applyBorder="1" applyAlignment="1">
      <alignment horizontal="center" vertical="center" wrapText="1"/>
    </xf>
    <xf numFmtId="15" fontId="5" fillId="0" borderId="1" xfId="1" applyNumberFormat="1" applyFont="1" applyBorder="1" applyAlignment="1">
      <alignment horizontal="center" vertical="center"/>
    </xf>
    <xf numFmtId="0" fontId="1" fillId="2" borderId="15" xfId="1" applyFill="1" applyBorder="1" applyAlignment="1">
      <alignment horizontal="center"/>
    </xf>
    <xf numFmtId="0" fontId="1" fillId="2" borderId="2" xfId="1" applyFill="1" applyBorder="1" applyAlignment="1">
      <alignment horizontal="center"/>
    </xf>
    <xf numFmtId="0" fontId="1" fillId="2" borderId="3" xfId="1" applyFill="1" applyBorder="1" applyAlignment="1">
      <alignment horizontal="center" vertical="center"/>
    </xf>
    <xf numFmtId="0" fontId="3" fillId="2" borderId="3" xfId="1" applyFont="1" applyFill="1" applyBorder="1" applyAlignment="1">
      <alignment horizontal="center" vertical="center"/>
    </xf>
    <xf numFmtId="0" fontId="3" fillId="2" borderId="15" xfId="1" applyFont="1" applyFill="1" applyBorder="1" applyAlignment="1">
      <alignment horizontal="center" vertical="center"/>
    </xf>
    <xf numFmtId="3" fontId="1" fillId="4" borderId="1" xfId="1" applyNumberFormat="1" applyFill="1" applyBorder="1" applyAlignment="1">
      <alignment horizontal="center"/>
    </xf>
    <xf numFmtId="0" fontId="1" fillId="2" borderId="1" xfId="1" applyFill="1" applyBorder="1" applyAlignment="1">
      <alignment horizontal="center" vertical="center" wrapText="1"/>
    </xf>
    <xf numFmtId="0" fontId="1" fillId="3" borderId="1" xfId="1" applyFill="1" applyBorder="1" applyAlignment="1">
      <alignment horizontal="center" vertical="center" wrapText="1"/>
    </xf>
    <xf numFmtId="3" fontId="1" fillId="3" borderId="1" xfId="1" applyNumberFormat="1" applyFill="1" applyBorder="1" applyAlignment="1">
      <alignment horizontal="center" vertical="center" wrapText="1"/>
    </xf>
    <xf numFmtId="0" fontId="1" fillId="4" borderId="1" xfId="1" applyFill="1" applyBorder="1" applyAlignment="1">
      <alignment horizontal="center"/>
    </xf>
    <xf numFmtId="0" fontId="3" fillId="2" borderId="14"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25" xfId="1" applyFont="1" applyFill="1" applyBorder="1" applyAlignment="1">
      <alignment horizontal="center" vertical="center"/>
    </xf>
    <xf numFmtId="0" fontId="3" fillId="2" borderId="7" xfId="1" applyFont="1" applyFill="1" applyBorder="1" applyAlignment="1">
      <alignment horizontal="center" vertical="center"/>
    </xf>
    <xf numFmtId="0" fontId="5" fillId="0" borderId="34" xfId="1" applyFont="1" applyBorder="1" applyAlignment="1">
      <alignment horizontal="center" vertical="center"/>
    </xf>
    <xf numFmtId="0" fontId="2" fillId="0" borderId="34" xfId="1" applyFont="1" applyBorder="1" applyAlignment="1">
      <alignment horizontal="center"/>
    </xf>
    <xf numFmtId="0" fontId="1" fillId="0" borderId="34" xfId="1" applyBorder="1" applyAlignment="1">
      <alignment horizontal="center"/>
    </xf>
    <xf numFmtId="3" fontId="1" fillId="0" borderId="34" xfId="1" applyNumberFormat="1" applyBorder="1" applyAlignment="1">
      <alignment horizontal="center"/>
    </xf>
    <xf numFmtId="0" fontId="1" fillId="3" borderId="34" xfId="1" applyFill="1" applyBorder="1" applyAlignment="1">
      <alignment horizontal="center" vertical="center" wrapText="1"/>
    </xf>
    <xf numFmtId="0" fontId="5" fillId="0" borderId="34" xfId="1" applyFont="1" applyBorder="1" applyAlignment="1">
      <alignment horizontal="center" vertical="center" wrapText="1"/>
    </xf>
    <xf numFmtId="0" fontId="2" fillId="0" borderId="34" xfId="1" applyFont="1" applyBorder="1" applyAlignment="1">
      <alignment horizontal="left" vertical="center" wrapText="1"/>
    </xf>
    <xf numFmtId="0" fontId="5" fillId="0" borderId="34" xfId="1" applyFont="1" applyBorder="1" applyAlignment="1">
      <alignment horizontal="left" vertical="center" wrapText="1"/>
    </xf>
    <xf numFmtId="0" fontId="2" fillId="0" borderId="34" xfId="1" applyFont="1" applyBorder="1" applyAlignment="1">
      <alignment horizontal="center" vertical="center" wrapText="1"/>
    </xf>
    <xf numFmtId="0" fontId="1" fillId="0" borderId="23" xfId="1" applyBorder="1" applyAlignment="1">
      <alignment horizontal="center"/>
    </xf>
    <xf numFmtId="0" fontId="1" fillId="0" borderId="23" xfId="1" applyBorder="1"/>
    <xf numFmtId="0" fontId="1" fillId="3" borderId="23" xfId="1" applyFill="1" applyBorder="1" applyAlignment="1">
      <alignment horizontal="center" vertical="center" wrapText="1"/>
    </xf>
    <xf numFmtId="0" fontId="5" fillId="0" borderId="23" xfId="1" applyFont="1" applyBorder="1" applyAlignment="1">
      <alignment horizontal="center" vertical="center" wrapText="1"/>
    </xf>
    <xf numFmtId="0" fontId="2" fillId="0" borderId="23" xfId="1" applyFont="1" applyBorder="1" applyAlignment="1">
      <alignment horizontal="left" vertical="center" wrapText="1"/>
    </xf>
    <xf numFmtId="0" fontId="5" fillId="0" borderId="23" xfId="1" applyFont="1" applyBorder="1" applyAlignment="1">
      <alignment horizontal="left" vertical="center" wrapText="1"/>
    </xf>
    <xf numFmtId="0" fontId="2" fillId="0" borderId="23" xfId="1" applyFont="1" applyBorder="1" applyAlignment="1">
      <alignment horizontal="center" vertical="center" wrapText="1"/>
    </xf>
    <xf numFmtId="0" fontId="1" fillId="0" borderId="20" xfId="1" applyFill="1" applyBorder="1" applyAlignment="1">
      <alignment horizontal="center" vertical="center" wrapText="1"/>
    </xf>
    <xf numFmtId="0" fontId="3" fillId="2" borderId="0"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20" xfId="1" applyFont="1" applyFill="1" applyBorder="1" applyAlignment="1">
      <alignment vertical="center"/>
    </xf>
    <xf numFmtId="0" fontId="1" fillId="2" borderId="26" xfId="1" applyFill="1" applyBorder="1"/>
    <xf numFmtId="0" fontId="6" fillId="5" borderId="25" xfId="1" applyFont="1" applyFill="1" applyBorder="1" applyAlignment="1">
      <alignment horizontal="center" vertical="center"/>
    </xf>
    <xf numFmtId="0" fontId="6" fillId="5" borderId="3" xfId="1" applyFont="1" applyFill="1" applyBorder="1" applyAlignment="1">
      <alignment horizontal="center" vertical="center"/>
    </xf>
    <xf numFmtId="0" fontId="5" fillId="3" borderId="34" xfId="1" applyFont="1" applyFill="1" applyBorder="1" applyAlignment="1">
      <alignment horizontal="center" vertical="center" wrapText="1"/>
    </xf>
    <xf numFmtId="0" fontId="1" fillId="4" borderId="23" xfId="1" applyFill="1" applyBorder="1" applyAlignment="1">
      <alignment horizontal="center" vertical="center"/>
    </xf>
    <xf numFmtId="0" fontId="1" fillId="4" borderId="23" xfId="1" applyFill="1" applyBorder="1" applyAlignment="1">
      <alignment horizontal="center"/>
    </xf>
    <xf numFmtId="3" fontId="1" fillId="4" borderId="23" xfId="1" applyNumberFormat="1" applyFill="1" applyBorder="1" applyAlignment="1">
      <alignment horizontal="center"/>
    </xf>
    <xf numFmtId="0" fontId="1" fillId="0" borderId="23" xfId="1" applyFill="1" applyBorder="1" applyAlignment="1">
      <alignment horizontal="center" vertical="center" wrapText="1"/>
    </xf>
    <xf numFmtId="0" fontId="1" fillId="0" borderId="1" xfId="1" applyBorder="1"/>
    <xf numFmtId="0" fontId="5" fillId="0" borderId="1" xfId="1" applyFont="1" applyBorder="1" applyAlignment="1">
      <alignment horizontal="center" vertical="center"/>
    </xf>
    <xf numFmtId="0" fontId="1" fillId="0" borderId="1" xfId="1" applyBorder="1" applyAlignment="1">
      <alignment horizontal="center" vertical="center"/>
    </xf>
    <xf numFmtId="0" fontId="5" fillId="0" borderId="1" xfId="1" applyFont="1" applyBorder="1" applyAlignment="1">
      <alignment horizontal="center" vertical="center" wrapText="1"/>
    </xf>
    <xf numFmtId="0" fontId="2" fillId="0" borderId="1" xfId="1" applyFont="1" applyBorder="1" applyAlignment="1">
      <alignment horizontal="left" vertical="center" wrapText="1"/>
    </xf>
    <xf numFmtId="0" fontId="5" fillId="0" borderId="1" xfId="1" applyFont="1" applyBorder="1" applyAlignment="1">
      <alignment horizontal="left" vertical="center" wrapText="1"/>
    </xf>
    <xf numFmtId="0" fontId="2" fillId="0" borderId="1" xfId="1" applyFont="1" applyBorder="1" applyAlignment="1">
      <alignment horizontal="center" vertical="center" wrapText="1"/>
    </xf>
    <xf numFmtId="15" fontId="5" fillId="0" borderId="1" xfId="1" applyNumberFormat="1" applyFont="1" applyBorder="1" applyAlignment="1">
      <alignment horizontal="center" vertical="center"/>
    </xf>
    <xf numFmtId="0" fontId="1" fillId="2" borderId="1" xfId="1" applyFill="1" applyBorder="1" applyAlignment="1">
      <alignment horizontal="center" vertical="center" wrapText="1"/>
    </xf>
    <xf numFmtId="0" fontId="1" fillId="3" borderId="1" xfId="1" applyFill="1" applyBorder="1" applyAlignment="1">
      <alignment horizontal="center" vertical="center" wrapText="1"/>
    </xf>
    <xf numFmtId="3" fontId="1" fillId="3" borderId="1" xfId="1" applyNumberFormat="1" applyFill="1" applyBorder="1" applyAlignment="1">
      <alignment horizontal="center" vertical="center" wrapText="1"/>
    </xf>
    <xf numFmtId="165" fontId="5" fillId="0" borderId="1" xfId="1" applyNumberFormat="1" applyFont="1" applyFill="1" applyBorder="1" applyAlignment="1">
      <alignment horizontal="center" vertical="center"/>
    </xf>
    <xf numFmtId="0" fontId="5" fillId="0" borderId="1" xfId="1" applyFont="1" applyFill="1" applyBorder="1" applyAlignment="1">
      <alignment horizontal="center" vertical="center"/>
    </xf>
    <xf numFmtId="0" fontId="5" fillId="0" borderId="1" xfId="1" applyFont="1" applyFill="1" applyBorder="1" applyAlignment="1">
      <alignment horizontal="center" vertical="center" wrapText="1"/>
    </xf>
    <xf numFmtId="164" fontId="5" fillId="0" borderId="1" xfId="1" applyNumberFormat="1" applyFont="1" applyFill="1" applyBorder="1" applyAlignment="1">
      <alignment horizontal="center" vertical="center"/>
    </xf>
    <xf numFmtId="0" fontId="1" fillId="0" borderId="1" xfId="1" applyFill="1" applyBorder="1" applyAlignment="1">
      <alignment horizontal="center" vertical="center"/>
    </xf>
    <xf numFmtId="3" fontId="1" fillId="0" borderId="1" xfId="1" applyNumberFormat="1" applyFill="1" applyBorder="1" applyAlignment="1">
      <alignment horizontal="center" vertical="center" wrapText="1"/>
    </xf>
    <xf numFmtId="0" fontId="2" fillId="0" borderId="1" xfId="1" applyFont="1" applyFill="1" applyBorder="1" applyAlignment="1">
      <alignment horizontal="left" vertical="center" wrapText="1"/>
    </xf>
    <xf numFmtId="0" fontId="5" fillId="0" borderId="1" xfId="1" applyFont="1" applyFill="1" applyBorder="1" applyAlignment="1">
      <alignment horizontal="left" vertical="center" wrapText="1"/>
    </xf>
    <xf numFmtId="0" fontId="2" fillId="0" borderId="1" xfId="1" applyFont="1" applyFill="1" applyBorder="1" applyAlignment="1">
      <alignment horizontal="center" vertical="center" wrapText="1"/>
    </xf>
    <xf numFmtId="165" fontId="2" fillId="0" borderId="41" xfId="1" applyNumberFormat="1" applyFont="1" applyFill="1" applyBorder="1" applyAlignment="1">
      <alignment horizontal="center"/>
    </xf>
    <xf numFmtId="165" fontId="5" fillId="0" borderId="34" xfId="1" applyNumberFormat="1" applyFont="1" applyFill="1" applyBorder="1" applyAlignment="1">
      <alignment horizontal="center" vertical="center"/>
    </xf>
    <xf numFmtId="0" fontId="5" fillId="0" borderId="34" xfId="1" applyFont="1" applyFill="1" applyBorder="1" applyAlignment="1">
      <alignment horizontal="center" vertical="center"/>
    </xf>
    <xf numFmtId="0" fontId="2" fillId="0" borderId="34" xfId="1" applyFont="1" applyFill="1" applyBorder="1" applyAlignment="1">
      <alignment horizontal="center"/>
    </xf>
    <xf numFmtId="0" fontId="1" fillId="0" borderId="34" xfId="1" applyFill="1" applyBorder="1" applyAlignment="1">
      <alignment horizontal="center"/>
    </xf>
    <xf numFmtId="3" fontId="1" fillId="0" borderId="34" xfId="1" applyNumberFormat="1" applyFill="1" applyBorder="1" applyAlignment="1">
      <alignment horizontal="center"/>
    </xf>
    <xf numFmtId="0" fontId="1" fillId="0" borderId="34" xfId="1" applyFill="1" applyBorder="1" applyAlignment="1">
      <alignment horizontal="center" vertical="center" wrapText="1"/>
    </xf>
    <xf numFmtId="0" fontId="5" fillId="0" borderId="34" xfId="1" applyFont="1" applyFill="1" applyBorder="1" applyAlignment="1">
      <alignment horizontal="center" vertical="center" wrapText="1"/>
    </xf>
    <xf numFmtId="0" fontId="1" fillId="0" borderId="34" xfId="1" applyFill="1" applyBorder="1"/>
    <xf numFmtId="165" fontId="5" fillId="0" borderId="42" xfId="1" applyNumberFormat="1" applyFont="1" applyFill="1" applyBorder="1" applyAlignment="1">
      <alignment horizontal="center" vertical="center"/>
    </xf>
    <xf numFmtId="0" fontId="2" fillId="0" borderId="23" xfId="1" applyFont="1" applyFill="1" applyBorder="1" applyAlignment="1">
      <alignment horizontal="center" vertical="center" wrapText="1"/>
    </xf>
    <xf numFmtId="14" fontId="5" fillId="0" borderId="1" xfId="1" applyNumberFormat="1" applyFont="1" applyFill="1" applyBorder="1" applyAlignment="1">
      <alignment horizontal="center" vertical="center"/>
    </xf>
    <xf numFmtId="0" fontId="1" fillId="0" borderId="1" xfId="1" applyBorder="1" applyAlignment="1">
      <alignment horizontal="center"/>
    </xf>
    <xf numFmtId="0" fontId="5" fillId="0" borderId="1" xfId="1" applyFont="1" applyBorder="1" applyAlignment="1">
      <alignment horizontal="center" vertical="center"/>
    </xf>
    <xf numFmtId="0" fontId="1" fillId="0" borderId="6" xfId="1" applyBorder="1"/>
    <xf numFmtId="0" fontId="5" fillId="0" borderId="1" xfId="1" applyFont="1" applyBorder="1" applyAlignment="1">
      <alignment horizontal="center" vertical="center" wrapText="1"/>
    </xf>
    <xf numFmtId="0" fontId="5" fillId="0" borderId="1" xfId="1" applyFont="1" applyBorder="1" applyAlignment="1">
      <alignment horizontal="left" vertical="center" wrapText="1"/>
    </xf>
    <xf numFmtId="0" fontId="2" fillId="0" borderId="1" xfId="1" applyFont="1" applyBorder="1" applyAlignment="1">
      <alignment horizontal="center" vertical="center" wrapText="1"/>
    </xf>
    <xf numFmtId="15" fontId="5" fillId="0" borderId="1" xfId="1" applyNumberFormat="1" applyFont="1" applyBorder="1" applyAlignment="1">
      <alignment horizontal="center" vertical="center"/>
    </xf>
    <xf numFmtId="0" fontId="5" fillId="0" borderId="6" xfId="1" applyFont="1" applyBorder="1" applyAlignment="1">
      <alignment horizontal="center" vertical="center"/>
    </xf>
    <xf numFmtId="0" fontId="5" fillId="0" borderId="6" xfId="1" applyFont="1" applyBorder="1" applyAlignment="1">
      <alignment horizontal="center" vertical="center" wrapText="1"/>
    </xf>
    <xf numFmtId="0" fontId="5" fillId="0" borderId="33" xfId="1" applyFont="1" applyBorder="1" applyAlignment="1">
      <alignment horizontal="center" vertical="center" wrapText="1"/>
    </xf>
    <xf numFmtId="165" fontId="1" fillId="0" borderId="44" xfId="1" applyNumberFormat="1" applyFill="1" applyBorder="1"/>
    <xf numFmtId="165" fontId="1" fillId="0" borderId="20" xfId="1" applyNumberFormat="1" applyFill="1" applyBorder="1"/>
    <xf numFmtId="0" fontId="1" fillId="0" borderId="20" xfId="1" applyFill="1" applyBorder="1"/>
    <xf numFmtId="0" fontId="5" fillId="0" borderId="20" xfId="1" applyFont="1" applyFill="1" applyBorder="1" applyAlignment="1">
      <alignment horizontal="center" vertical="center" wrapText="1"/>
    </xf>
    <xf numFmtId="0" fontId="2" fillId="0" borderId="20" xfId="1" applyFont="1" applyFill="1" applyBorder="1" applyAlignment="1">
      <alignment horizontal="left" vertical="center" wrapText="1"/>
    </xf>
    <xf numFmtId="0" fontId="0" fillId="0" borderId="1" xfId="0" applyBorder="1"/>
    <xf numFmtId="0" fontId="2" fillId="0" borderId="33" xfId="1" applyFont="1" applyBorder="1" applyAlignment="1">
      <alignment horizontal="center" vertical="center" wrapText="1"/>
    </xf>
    <xf numFmtId="0" fontId="2" fillId="0" borderId="6" xfId="1" applyFont="1" applyBorder="1" applyAlignment="1">
      <alignment horizontal="center" vertical="center" wrapText="1"/>
    </xf>
    <xf numFmtId="0" fontId="5" fillId="0" borderId="20" xfId="1" applyFont="1" applyFill="1" applyBorder="1" applyAlignment="1">
      <alignment horizontal="left" vertical="center" wrapText="1"/>
    </xf>
    <xf numFmtId="0" fontId="2" fillId="0" borderId="20" xfId="1" applyFont="1" applyFill="1" applyBorder="1" applyAlignment="1">
      <alignment horizontal="center" vertical="center" wrapText="1"/>
    </xf>
    <xf numFmtId="0" fontId="2" fillId="0" borderId="34" xfId="1" applyFont="1" applyFill="1" applyBorder="1" applyAlignment="1">
      <alignment horizontal="left" vertical="center" wrapText="1"/>
    </xf>
    <xf numFmtId="0" fontId="2" fillId="0" borderId="35" xfId="1" applyFont="1" applyBorder="1" applyAlignment="1">
      <alignment horizontal="center" vertical="center" wrapText="1"/>
    </xf>
    <xf numFmtId="0" fontId="2" fillId="0" borderId="36" xfId="1" applyFont="1" applyBorder="1" applyAlignment="1">
      <alignment horizontal="center" vertical="center" wrapText="1"/>
    </xf>
    <xf numFmtId="0" fontId="1" fillId="0" borderId="36" xfId="1" applyBorder="1" applyAlignment="1">
      <alignment horizontal="center"/>
    </xf>
    <xf numFmtId="0" fontId="5" fillId="0" borderId="33" xfId="1" applyFont="1" applyFill="1" applyBorder="1" applyAlignment="1">
      <alignment horizontal="center" vertical="center"/>
    </xf>
    <xf numFmtId="0" fontId="5" fillId="0" borderId="6" xfId="1" applyFont="1" applyFill="1" applyBorder="1" applyAlignment="1">
      <alignment horizontal="center" vertical="center"/>
    </xf>
    <xf numFmtId="0" fontId="0" fillId="0" borderId="6" xfId="0" applyBorder="1"/>
    <xf numFmtId="0" fontId="5" fillId="0" borderId="24" xfId="1" applyFont="1" applyBorder="1" applyAlignment="1">
      <alignment horizontal="center" vertical="center"/>
    </xf>
    <xf numFmtId="0" fontId="5" fillId="0" borderId="27" xfId="1" applyFont="1" applyBorder="1" applyAlignment="1">
      <alignment horizontal="center" vertical="center"/>
    </xf>
    <xf numFmtId="0" fontId="1" fillId="0" borderId="43" xfId="1" applyBorder="1"/>
    <xf numFmtId="0" fontId="7" fillId="0" borderId="0" xfId="0" applyFont="1"/>
    <xf numFmtId="0" fontId="7" fillId="0" borderId="45" xfId="0" applyFont="1" applyBorder="1" applyAlignment="1">
      <alignment horizontal="center" readingOrder="1"/>
    </xf>
    <xf numFmtId="0" fontId="7" fillId="0" borderId="23" xfId="0" applyFont="1" applyBorder="1" applyAlignment="1">
      <alignment horizontal="center" readingOrder="1"/>
    </xf>
    <xf numFmtId="1" fontId="7" fillId="0" borderId="37" xfId="0" applyNumberFormat="1" applyFont="1" applyBorder="1" applyAlignment="1">
      <alignment horizontal="center" readingOrder="1"/>
    </xf>
    <xf numFmtId="0" fontId="8" fillId="6" borderId="1" xfId="0" applyFont="1" applyFill="1" applyBorder="1" applyAlignment="1">
      <alignment horizontal="center" wrapText="1" readingOrder="1"/>
    </xf>
    <xf numFmtId="0" fontId="7" fillId="0" borderId="1" xfId="0" applyFont="1" applyBorder="1" applyAlignment="1">
      <alignment horizontal="center"/>
    </xf>
    <xf numFmtId="0" fontId="8" fillId="0" borderId="0" xfId="0" applyFont="1" applyFill="1" applyBorder="1" applyAlignment="1">
      <alignment vertical="center" wrapText="1"/>
    </xf>
    <xf numFmtId="0" fontId="7" fillId="6" borderId="1" xfId="0" applyFont="1" applyFill="1" applyBorder="1" applyAlignment="1">
      <alignment horizontal="center"/>
    </xf>
    <xf numFmtId="0" fontId="7" fillId="7" borderId="1" xfId="0" applyFont="1" applyFill="1" applyBorder="1" applyAlignment="1">
      <alignment horizontal="center"/>
    </xf>
    <xf numFmtId="0" fontId="7" fillId="9" borderId="1" xfId="0" applyFont="1" applyFill="1" applyBorder="1" applyAlignment="1">
      <alignment horizontal="center"/>
    </xf>
    <xf numFmtId="0" fontId="7" fillId="0" borderId="45" xfId="0" applyFont="1" applyBorder="1" applyAlignment="1">
      <alignment horizontal="center"/>
    </xf>
    <xf numFmtId="0" fontId="7" fillId="0" borderId="23" xfId="0" applyFont="1" applyBorder="1" applyAlignment="1">
      <alignment horizontal="center"/>
    </xf>
    <xf numFmtId="0" fontId="7" fillId="0" borderId="37" xfId="0" applyFont="1" applyBorder="1" applyAlignment="1">
      <alignment horizontal="center"/>
    </xf>
    <xf numFmtId="0" fontId="7" fillId="7" borderId="36" xfId="0" applyFont="1" applyFill="1" applyBorder="1" applyAlignment="1">
      <alignment horizontal="center"/>
    </xf>
    <xf numFmtId="0" fontId="7" fillId="9" borderId="23" xfId="0" applyFont="1" applyFill="1" applyBorder="1" applyAlignment="1">
      <alignment horizontal="center"/>
    </xf>
    <xf numFmtId="0" fontId="1" fillId="0" borderId="1" xfId="0" applyFont="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7" fillId="0" borderId="0" xfId="0" applyFont="1" applyBorder="1" applyAlignment="1">
      <alignment vertical="top" wrapText="1"/>
    </xf>
    <xf numFmtId="0" fontId="10" fillId="0" borderId="0" xfId="0" applyFont="1"/>
    <xf numFmtId="0" fontId="10" fillId="0" borderId="1" xfId="0" applyFont="1" applyBorder="1" applyAlignment="1">
      <alignment horizontal="center"/>
    </xf>
    <xf numFmtId="0" fontId="10"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3" fontId="10" fillId="3" borderId="1" xfId="0" applyNumberFormat="1" applyFont="1" applyFill="1" applyBorder="1" applyAlignment="1">
      <alignment horizontal="center" vertical="center" wrapText="1"/>
    </xf>
    <xf numFmtId="0" fontId="10" fillId="0" borderId="1" xfId="0" applyFont="1" applyBorder="1" applyAlignment="1">
      <alignment horizontal="center" vertical="center"/>
    </xf>
    <xf numFmtId="0" fontId="10" fillId="0" borderId="0" xfId="0" applyFont="1" applyBorder="1" applyAlignment="1">
      <alignment vertical="top" wrapText="1"/>
    </xf>
    <xf numFmtId="0" fontId="1" fillId="0" borderId="34" xfId="0" applyFont="1" applyBorder="1" applyAlignment="1">
      <alignment horizontal="center"/>
    </xf>
    <xf numFmtId="0" fontId="10" fillId="0" borderId="34" xfId="0" applyFont="1" applyBorder="1" applyAlignment="1">
      <alignment horizontal="center"/>
    </xf>
    <xf numFmtId="3" fontId="10" fillId="0" borderId="34" xfId="0" applyNumberFormat="1" applyFont="1" applyBorder="1" applyAlignment="1">
      <alignment horizontal="center"/>
    </xf>
    <xf numFmtId="0" fontId="10" fillId="3" borderId="34" xfId="0" applyFont="1" applyFill="1" applyBorder="1" applyAlignment="1">
      <alignment horizontal="center" vertical="center" wrapText="1"/>
    </xf>
    <xf numFmtId="0" fontId="1" fillId="0" borderId="34" xfId="0" applyFont="1" applyBorder="1" applyAlignment="1">
      <alignment horizontal="center" vertical="center" wrapText="1"/>
    </xf>
    <xf numFmtId="0" fontId="1" fillId="0" borderId="34" xfId="0" applyFont="1" applyBorder="1" applyAlignment="1">
      <alignment horizontal="left" vertical="center" wrapText="1"/>
    </xf>
    <xf numFmtId="0" fontId="0" fillId="0" borderId="19" xfId="0" applyBorder="1"/>
    <xf numFmtId="0" fontId="0" fillId="0" borderId="20" xfId="0" applyBorder="1"/>
    <xf numFmtId="0" fontId="5" fillId="0" borderId="19"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20" xfId="1" applyFont="1" applyBorder="1" applyAlignment="1">
      <alignment horizontal="left" vertical="center" wrapText="1"/>
    </xf>
    <xf numFmtId="0" fontId="2" fillId="0" borderId="49" xfId="1" applyFont="1" applyBorder="1" applyAlignment="1">
      <alignment horizontal="center" vertical="center" wrapText="1"/>
    </xf>
    <xf numFmtId="0" fontId="2" fillId="0" borderId="19" xfId="1" applyFont="1" applyBorder="1" applyAlignment="1">
      <alignment horizontal="center" vertical="center" wrapText="1"/>
    </xf>
    <xf numFmtId="0" fontId="2" fillId="0" borderId="20" xfId="1" applyFont="1" applyBorder="1" applyAlignment="1">
      <alignment horizontal="center" vertical="center" wrapText="1"/>
    </xf>
    <xf numFmtId="0" fontId="10" fillId="0" borderId="1" xfId="0" applyFont="1" applyBorder="1"/>
    <xf numFmtId="15" fontId="10" fillId="0" borderId="1" xfId="0" applyNumberFormat="1" applyFont="1" applyBorder="1" applyAlignment="1">
      <alignment horizontal="center"/>
    </xf>
    <xf numFmtId="0" fontId="10" fillId="0" borderId="34" xfId="0" applyFont="1" applyBorder="1"/>
    <xf numFmtId="0" fontId="10" fillId="0" borderId="42" xfId="0" applyFont="1" applyBorder="1"/>
    <xf numFmtId="0" fontId="10" fillId="0" borderId="45" xfId="0" applyFont="1" applyBorder="1"/>
    <xf numFmtId="0" fontId="10" fillId="0" borderId="23" xfId="0" applyFont="1" applyBorder="1"/>
    <xf numFmtId="0" fontId="7" fillId="8" borderId="1" xfId="0" applyFont="1" applyFill="1" applyBorder="1" applyAlignment="1">
      <alignment horizontal="center" vertical="center"/>
    </xf>
    <xf numFmtId="0" fontId="7" fillId="8" borderId="36" xfId="0" applyFont="1" applyFill="1" applyBorder="1" applyAlignment="1">
      <alignment horizontal="center" vertical="center"/>
    </xf>
    <xf numFmtId="0" fontId="11" fillId="0" borderId="24" xfId="0" applyFont="1" applyBorder="1" applyAlignment="1">
      <alignment horizontal="center"/>
    </xf>
    <xf numFmtId="0" fontId="11" fillId="0" borderId="42" xfId="0" applyFont="1" applyBorder="1" applyAlignment="1">
      <alignment horizontal="center"/>
    </xf>
    <xf numFmtId="0" fontId="11" fillId="0" borderId="1" xfId="0" applyFont="1" applyBorder="1" applyAlignment="1">
      <alignment horizontal="center"/>
    </xf>
    <xf numFmtId="0" fontId="11" fillId="0" borderId="45" xfId="0" applyFont="1" applyBorder="1" applyAlignment="1">
      <alignment horizontal="center"/>
    </xf>
    <xf numFmtId="0" fontId="11" fillId="0" borderId="23" xfId="0" applyFont="1" applyBorder="1" applyAlignment="1">
      <alignment horizontal="center"/>
    </xf>
    <xf numFmtId="0" fontId="0" fillId="4" borderId="1" xfId="0" applyFill="1" applyBorder="1" applyAlignment="1">
      <alignment horizontal="center"/>
    </xf>
    <xf numFmtId="0" fontId="14" fillId="0" borderId="1" xfId="1" applyFont="1" applyBorder="1" applyAlignment="1">
      <alignment horizontal="center" vertical="center" wrapText="1"/>
    </xf>
    <xf numFmtId="0" fontId="11" fillId="0" borderId="0" xfId="0" applyFont="1"/>
    <xf numFmtId="0" fontId="11" fillId="4" borderId="1" xfId="0" applyFont="1" applyFill="1" applyBorder="1" applyAlignment="1">
      <alignment horizontal="center" vertical="center"/>
    </xf>
    <xf numFmtId="0" fontId="11" fillId="4" borderId="1" xfId="0" applyFont="1" applyFill="1" applyBorder="1"/>
    <xf numFmtId="0" fontId="11" fillId="0" borderId="1" xfId="0" applyFont="1" applyBorder="1" applyAlignment="1">
      <alignment horizontal="center" vertical="center"/>
    </xf>
    <xf numFmtId="0" fontId="11" fillId="0" borderId="53" xfId="2" applyFont="1" applyBorder="1" applyAlignment="1">
      <alignment horizontal="center" vertical="center" wrapText="1"/>
    </xf>
    <xf numFmtId="0" fontId="11" fillId="0" borderId="1" xfId="2" applyFont="1" applyBorder="1" applyAlignment="1">
      <alignment horizontal="center" vertical="center" wrapText="1"/>
    </xf>
    <xf numFmtId="0" fontId="11" fillId="10" borderId="1" xfId="0" applyFont="1" applyFill="1" applyBorder="1" applyAlignment="1">
      <alignment horizontal="center" vertical="center"/>
    </xf>
    <xf numFmtId="0" fontId="0" fillId="0" borderId="0" xfId="0" applyAlignment="1">
      <alignment horizontal="center"/>
    </xf>
    <xf numFmtId="0" fontId="14" fillId="0" borderId="24" xfId="1" applyFont="1" applyBorder="1" applyAlignment="1">
      <alignment horizontal="center" vertical="center" wrapText="1"/>
    </xf>
    <xf numFmtId="0" fontId="11" fillId="0" borderId="55" xfId="2" applyFont="1" applyBorder="1" applyAlignment="1">
      <alignment horizontal="center" vertical="center" wrapText="1"/>
    </xf>
    <xf numFmtId="0" fontId="11" fillId="6" borderId="1" xfId="0" applyFont="1" applyFill="1" applyBorder="1"/>
    <xf numFmtId="0" fontId="11" fillId="0" borderId="20" xfId="0" applyFont="1" applyBorder="1" applyAlignment="1">
      <alignment horizontal="center" vertical="center"/>
    </xf>
    <xf numFmtId="0" fontId="14" fillId="0" borderId="20" xfId="1" applyFont="1" applyBorder="1" applyAlignment="1">
      <alignment horizontal="center" vertical="center" wrapText="1"/>
    </xf>
    <xf numFmtId="0" fontId="11" fillId="0" borderId="56" xfId="2" applyFont="1" applyBorder="1" applyAlignment="1">
      <alignment horizontal="center" vertical="center" wrapText="1"/>
    </xf>
    <xf numFmtId="0" fontId="14" fillId="0" borderId="0" xfId="1" applyFont="1" applyFill="1" applyBorder="1" applyAlignment="1">
      <alignment horizontal="center" vertical="center" wrapText="1"/>
    </xf>
    <xf numFmtId="1" fontId="11" fillId="10" borderId="1" xfId="0" applyNumberFormat="1" applyFont="1" applyFill="1" applyBorder="1" applyAlignment="1">
      <alignment horizontal="center" vertical="center"/>
    </xf>
    <xf numFmtId="0" fontId="0" fillId="0" borderId="42" xfId="0" applyBorder="1" applyAlignment="1">
      <alignment horizontal="center"/>
    </xf>
    <xf numFmtId="0" fontId="0" fillId="0" borderId="1" xfId="0" applyBorder="1" applyAlignment="1">
      <alignment horizontal="center"/>
    </xf>
    <xf numFmtId="0" fontId="0" fillId="0" borderId="36" xfId="0" applyBorder="1" applyAlignment="1">
      <alignment horizontal="center"/>
    </xf>
    <xf numFmtId="0" fontId="0" fillId="0" borderId="45" xfId="0" applyBorder="1" applyAlignment="1">
      <alignment horizontal="center"/>
    </xf>
    <xf numFmtId="0" fontId="0" fillId="0" borderId="23" xfId="0" applyBorder="1" applyAlignment="1">
      <alignment horizontal="center"/>
    </xf>
    <xf numFmtId="0" fontId="0" fillId="0" borderId="37" xfId="0" applyBorder="1" applyAlignment="1">
      <alignment horizontal="center"/>
    </xf>
    <xf numFmtId="0" fontId="0" fillId="0" borderId="57" xfId="0" applyBorder="1" applyAlignment="1">
      <alignment horizontal="center"/>
    </xf>
    <xf numFmtId="0" fontId="0" fillId="0" borderId="24" xfId="0" applyBorder="1" applyAlignment="1">
      <alignment horizontal="center"/>
    </xf>
    <xf numFmtId="0" fontId="0" fillId="0" borderId="58" xfId="0" applyBorder="1" applyAlignment="1">
      <alignment horizontal="center"/>
    </xf>
    <xf numFmtId="0" fontId="11" fillId="4" borderId="1" xfId="0" applyFont="1" applyFill="1" applyBorder="1" applyAlignment="1">
      <alignment horizontal="center"/>
    </xf>
    <xf numFmtId="0" fontId="11" fillId="0" borderId="1" xfId="0" applyFont="1" applyBorder="1"/>
    <xf numFmtId="0" fontId="11" fillId="0" borderId="23" xfId="0" applyFont="1" applyBorder="1"/>
    <xf numFmtId="0" fontId="15" fillId="0" borderId="34" xfId="0" applyFont="1" applyFill="1" applyBorder="1" applyAlignment="1">
      <alignment horizontal="center"/>
    </xf>
    <xf numFmtId="0" fontId="15" fillId="0" borderId="1" xfId="0" applyFont="1" applyFill="1" applyBorder="1" applyAlignment="1">
      <alignment horizontal="center"/>
    </xf>
    <xf numFmtId="0" fontId="15" fillId="0" borderId="36" xfId="0" applyFont="1" applyFill="1" applyBorder="1" applyAlignment="1">
      <alignment horizontal="center"/>
    </xf>
    <xf numFmtId="0" fontId="15" fillId="0" borderId="20" xfId="0" applyFont="1" applyFill="1" applyBorder="1" applyAlignment="1">
      <alignment horizontal="center"/>
    </xf>
    <xf numFmtId="0" fontId="15" fillId="0" borderId="49" xfId="0" applyFont="1" applyFill="1" applyBorder="1" applyAlignment="1">
      <alignment horizontal="center"/>
    </xf>
    <xf numFmtId="0" fontId="15" fillId="0" borderId="34"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37"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60" xfId="0" applyFont="1" applyFill="1" applyBorder="1" applyAlignment="1">
      <alignment horizontal="center" vertical="center"/>
    </xf>
    <xf numFmtId="0" fontId="15" fillId="0" borderId="20" xfId="0" applyFont="1" applyFill="1" applyBorder="1" applyAlignment="1">
      <alignment horizontal="center" vertical="center"/>
    </xf>
    <xf numFmtId="0" fontId="15" fillId="0" borderId="61" xfId="0" applyFont="1" applyFill="1" applyBorder="1" applyAlignment="1">
      <alignment horizontal="center" vertical="center"/>
    </xf>
    <xf numFmtId="0" fontId="15" fillId="0" borderId="49"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36" xfId="0" applyFont="1" applyFill="1" applyBorder="1" applyAlignment="1">
      <alignment horizontal="center" vertical="center"/>
    </xf>
    <xf numFmtId="0" fontId="15" fillId="0" borderId="62" xfId="0" applyFont="1" applyFill="1" applyBorder="1" applyAlignment="1">
      <alignment horizontal="center" vertical="center"/>
    </xf>
    <xf numFmtId="0" fontId="17" fillId="0" borderId="0" xfId="0" applyFont="1"/>
    <xf numFmtId="0" fontId="19" fillId="11" borderId="59" xfId="0" applyFont="1" applyFill="1" applyBorder="1" applyAlignment="1">
      <alignment horizontal="center" vertical="center" wrapText="1"/>
    </xf>
    <xf numFmtId="0" fontId="19" fillId="11" borderId="48" xfId="0" applyFont="1" applyFill="1" applyBorder="1" applyAlignment="1">
      <alignment horizontal="center" vertical="center"/>
    </xf>
    <xf numFmtId="0" fontId="20" fillId="0" borderId="21" xfId="0" applyFont="1" applyBorder="1" applyAlignment="1">
      <alignment horizontal="center" vertical="center"/>
    </xf>
    <xf numFmtId="0" fontId="20" fillId="0" borderId="30" xfId="0" applyFont="1" applyBorder="1" applyAlignment="1">
      <alignment horizontal="center" vertical="center"/>
    </xf>
    <xf numFmtId="0" fontId="21" fillId="0" borderId="0" xfId="0" applyFont="1"/>
    <xf numFmtId="0" fontId="11" fillId="0" borderId="57" xfId="0" applyFont="1" applyBorder="1" applyAlignment="1">
      <alignment horizontal="center"/>
    </xf>
    <xf numFmtId="0" fontId="11" fillId="0" borderId="24" xfId="0" applyFont="1" applyBorder="1"/>
    <xf numFmtId="0" fontId="11" fillId="4" borderId="1" xfId="0" applyFont="1" applyFill="1" applyBorder="1" applyAlignment="1">
      <alignment horizontal="center"/>
    </xf>
    <xf numFmtId="0" fontId="11" fillId="0" borderId="0" xfId="0" applyFont="1" applyFill="1" applyBorder="1" applyAlignment="1">
      <alignment horizontal="center"/>
    </xf>
    <xf numFmtId="9" fontId="0" fillId="0" borderId="1" xfId="3" applyFont="1" applyBorder="1"/>
    <xf numFmtId="0" fontId="11" fillId="0" borderId="1" xfId="0" applyFont="1" applyFill="1" applyBorder="1" applyAlignment="1">
      <alignment horizontal="center"/>
    </xf>
    <xf numFmtId="0" fontId="0" fillId="0" borderId="0" xfId="0" applyBorder="1"/>
    <xf numFmtId="0" fontId="14" fillId="0" borderId="0" xfId="1" applyFont="1" applyBorder="1" applyAlignment="1">
      <alignment horizontal="center" vertical="center" wrapText="1"/>
    </xf>
    <xf numFmtId="9" fontId="11" fillId="0" borderId="1" xfId="3" applyFont="1" applyBorder="1" applyAlignment="1">
      <alignment horizontal="center"/>
    </xf>
    <xf numFmtId="0" fontId="14" fillId="0" borderId="1" xfId="1" applyFont="1" applyFill="1" applyBorder="1" applyAlignment="1">
      <alignment horizontal="center" vertical="center" wrapText="1"/>
    </xf>
    <xf numFmtId="0" fontId="11" fillId="8" borderId="1" xfId="0" applyFont="1" applyFill="1" applyBorder="1" applyAlignment="1">
      <alignment horizontal="center"/>
    </xf>
    <xf numFmtId="0" fontId="11" fillId="4" borderId="5" xfId="0" applyFont="1" applyFill="1" applyBorder="1" applyAlignment="1">
      <alignment horizontal="center"/>
    </xf>
    <xf numFmtId="9" fontId="11" fillId="0" borderId="0" xfId="3" applyFont="1" applyBorder="1" applyAlignment="1">
      <alignment horizontal="center"/>
    </xf>
    <xf numFmtId="9" fontId="11" fillId="0" borderId="0" xfId="3" applyFont="1" applyFill="1" applyBorder="1" applyAlignment="1">
      <alignment horizontal="center"/>
    </xf>
    <xf numFmtId="0" fontId="11" fillId="0" borderId="0" xfId="2" applyFont="1" applyBorder="1" applyAlignment="1">
      <alignment horizontal="center" vertical="center" wrapText="1"/>
    </xf>
    <xf numFmtId="1" fontId="11" fillId="0" borderId="1" xfId="0" applyNumberFormat="1" applyFont="1" applyBorder="1" applyAlignment="1">
      <alignment horizontal="center" vertical="center"/>
    </xf>
    <xf numFmtId="0" fontId="11" fillId="0" borderId="0" xfId="0" applyFont="1" applyBorder="1" applyAlignment="1">
      <alignment horizontal="center"/>
    </xf>
    <xf numFmtId="0" fontId="14" fillId="0" borderId="3" xfId="1" applyFont="1" applyFill="1" applyBorder="1" applyAlignment="1">
      <alignment horizontal="center" vertical="center" wrapText="1"/>
    </xf>
    <xf numFmtId="2" fontId="14" fillId="0" borderId="1" xfId="1"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2" fontId="11" fillId="0" borderId="1" xfId="0" applyNumberFormat="1" applyFont="1" applyBorder="1" applyAlignment="1">
      <alignment horizontal="center"/>
    </xf>
    <xf numFmtId="2" fontId="14" fillId="0" borderId="1" xfId="1" applyNumberFormat="1" applyFont="1" applyFill="1" applyBorder="1" applyAlignment="1">
      <alignment horizontal="center" vertical="center" wrapText="1"/>
    </xf>
    <xf numFmtId="2" fontId="11" fillId="0" borderId="0" xfId="2" applyNumberFormat="1" applyFont="1" applyBorder="1" applyAlignment="1">
      <alignment horizontal="center" vertical="center" wrapText="1"/>
    </xf>
    <xf numFmtId="2" fontId="11" fillId="0" borderId="60" xfId="0" applyNumberFormat="1" applyFont="1" applyBorder="1" applyAlignment="1">
      <alignment horizontal="center"/>
    </xf>
    <xf numFmtId="2" fontId="11" fillId="0" borderId="62" xfId="0" applyNumberFormat="1" applyFont="1" applyBorder="1" applyAlignment="1">
      <alignment horizontal="center"/>
    </xf>
    <xf numFmtId="2" fontId="11" fillId="0" borderId="63" xfId="0" applyNumberFormat="1" applyFont="1" applyBorder="1" applyAlignment="1">
      <alignment horizontal="center"/>
    </xf>
    <xf numFmtId="166" fontId="0" fillId="0" borderId="0" xfId="0" applyNumberFormat="1"/>
    <xf numFmtId="2" fontId="11" fillId="0" borderId="58" xfId="0" applyNumberFormat="1" applyFont="1" applyBorder="1" applyAlignment="1">
      <alignment horizontal="center"/>
    </xf>
    <xf numFmtId="2" fontId="11" fillId="0" borderId="36" xfId="0" applyNumberFormat="1" applyFont="1" applyBorder="1" applyAlignment="1">
      <alignment horizontal="center"/>
    </xf>
    <xf numFmtId="2" fontId="11" fillId="0" borderId="37" xfId="0" applyNumberFormat="1" applyFont="1" applyBorder="1" applyAlignment="1">
      <alignment horizontal="center"/>
    </xf>
    <xf numFmtId="0" fontId="11" fillId="4" borderId="1" xfId="0" applyFont="1" applyFill="1" applyBorder="1" applyAlignment="1">
      <alignment horizontal="center"/>
    </xf>
    <xf numFmtId="0" fontId="11" fillId="8" borderId="1" xfId="0" applyFont="1" applyFill="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1" fillId="0" borderId="1" xfId="0" applyFont="1" applyBorder="1" applyAlignment="1">
      <alignment horizontal="center"/>
    </xf>
    <xf numFmtId="0" fontId="0" fillId="12" borderId="1" xfId="0" applyFill="1" applyBorder="1" applyAlignment="1">
      <alignment horizontal="center"/>
    </xf>
    <xf numFmtId="0" fontId="0" fillId="12" borderId="1" xfId="0" applyFill="1" applyBorder="1" applyAlignment="1"/>
    <xf numFmtId="0" fontId="0" fillId="12" borderId="1" xfId="0" applyFill="1" applyBorder="1"/>
    <xf numFmtId="9" fontId="0" fillId="12" borderId="6" xfId="0" applyNumberFormat="1" applyFill="1" applyBorder="1" applyAlignment="1"/>
    <xf numFmtId="0" fontId="0" fillId="0" borderId="42" xfId="0" applyBorder="1" applyAlignment="1">
      <alignment horizontal="center" vertical="center" wrapText="1"/>
    </xf>
    <xf numFmtId="0" fontId="0" fillId="0" borderId="57" xfId="0" applyBorder="1" applyAlignment="1">
      <alignment horizontal="center" vertical="center" wrapText="1"/>
    </xf>
    <xf numFmtId="0" fontId="0" fillId="12" borderId="50" xfId="0" applyFill="1" applyBorder="1" applyAlignment="1">
      <alignment horizontal="center"/>
    </xf>
    <xf numFmtId="0" fontId="0" fillId="12" borderId="52" xfId="0" applyFill="1" applyBorder="1" applyAlignment="1">
      <alignment horizontal="center"/>
    </xf>
    <xf numFmtId="0" fontId="0" fillId="0" borderId="1" xfId="0" applyBorder="1" applyAlignment="1">
      <alignment horizontal="center" vertical="center"/>
    </xf>
    <xf numFmtId="9" fontId="0" fillId="0" borderId="36" xfId="3" applyFont="1" applyBorder="1" applyAlignment="1">
      <alignment horizontal="center"/>
    </xf>
    <xf numFmtId="0" fontId="0" fillId="0" borderId="24" xfId="0" applyBorder="1" applyAlignment="1">
      <alignment horizontal="center" vertical="center"/>
    </xf>
    <xf numFmtId="9" fontId="0" fillId="0" borderId="58" xfId="3" applyFont="1" applyBorder="1" applyAlignment="1">
      <alignment horizontal="center"/>
    </xf>
    <xf numFmtId="0" fontId="0" fillId="12" borderId="51" xfId="0" applyFill="1" applyBorder="1" applyAlignment="1">
      <alignment horizontal="center"/>
    </xf>
    <xf numFmtId="9" fontId="0" fillId="12" borderId="52" xfId="0" applyNumberFormat="1" applyFill="1" applyBorder="1" applyAlignment="1">
      <alignment horizontal="center"/>
    </xf>
    <xf numFmtId="0" fontId="7" fillId="0" borderId="1" xfId="0" applyFont="1" applyBorder="1"/>
    <xf numFmtId="0" fontId="11" fillId="3" borderId="1" xfId="0" applyFont="1" applyFill="1" applyBorder="1" applyAlignment="1">
      <alignment horizontal="center"/>
    </xf>
    <xf numFmtId="0" fontId="11" fillId="3" borderId="5" xfId="0" applyFont="1" applyFill="1" applyBorder="1" applyAlignment="1">
      <alignment horizontal="center"/>
    </xf>
    <xf numFmtId="9" fontId="11" fillId="3" borderId="1" xfId="3" applyFont="1" applyFill="1" applyBorder="1" applyAlignment="1">
      <alignment horizontal="center"/>
    </xf>
    <xf numFmtId="0" fontId="14" fillId="13" borderId="1" xfId="1" applyFont="1" applyFill="1" applyBorder="1" applyAlignment="1">
      <alignment horizontal="center" vertical="center" wrapText="1"/>
    </xf>
    <xf numFmtId="0" fontId="11" fillId="13" borderId="5" xfId="0" applyFont="1" applyFill="1" applyBorder="1" applyAlignment="1">
      <alignment horizontal="center"/>
    </xf>
    <xf numFmtId="0" fontId="11" fillId="13" borderId="1" xfId="0" applyFont="1" applyFill="1" applyBorder="1" applyAlignment="1">
      <alignment horizontal="center"/>
    </xf>
    <xf numFmtId="9" fontId="11" fillId="13" borderId="1" xfId="3" applyFont="1" applyFill="1" applyBorder="1" applyAlignment="1">
      <alignment horizontal="center"/>
    </xf>
    <xf numFmtId="0" fontId="11" fillId="0" borderId="1" xfId="0" applyFont="1" applyBorder="1" applyAlignment="1">
      <alignment horizontal="center" vertical="center" wrapText="1"/>
    </xf>
    <xf numFmtId="0" fontId="11" fillId="4" borderId="1" xfId="0" applyFont="1" applyFill="1" applyBorder="1" applyAlignment="1">
      <alignment horizontal="center"/>
    </xf>
    <xf numFmtId="0" fontId="11" fillId="8" borderId="1" xfId="0" applyFont="1" applyFill="1" applyBorder="1" applyAlignment="1">
      <alignment horizontal="center"/>
    </xf>
    <xf numFmtId="0" fontId="11" fillId="0" borderId="5" xfId="0" applyFont="1" applyBorder="1" applyAlignment="1">
      <alignment horizontal="center"/>
    </xf>
    <xf numFmtId="0" fontId="11" fillId="0" borderId="1" xfId="0" applyFont="1" applyBorder="1" applyAlignment="1">
      <alignment horizontal="center"/>
    </xf>
    <xf numFmtId="0" fontId="11" fillId="4" borderId="1" xfId="0" applyFont="1" applyFill="1" applyBorder="1" applyAlignment="1">
      <alignment horizontal="center" vertical="center"/>
    </xf>
    <xf numFmtId="0" fontId="14" fillId="3" borderId="1" xfId="1" applyFont="1" applyFill="1" applyBorder="1" applyAlignment="1">
      <alignment horizontal="center" vertical="center" wrapText="1"/>
    </xf>
    <xf numFmtId="2" fontId="14" fillId="0" borderId="3" xfId="1" applyNumberFormat="1" applyFont="1" applyFill="1" applyBorder="1" applyAlignment="1">
      <alignment horizontal="center" vertical="center" wrapText="1"/>
    </xf>
    <xf numFmtId="0" fontId="11" fillId="0" borderId="3" xfId="0" applyFont="1" applyFill="1" applyBorder="1" applyAlignment="1">
      <alignment horizontal="center"/>
    </xf>
    <xf numFmtId="0" fontId="23" fillId="0" borderId="0" xfId="0" applyFont="1"/>
    <xf numFmtId="167" fontId="0" fillId="0" borderId="0" xfId="4" applyNumberFormat="1" applyFont="1"/>
    <xf numFmtId="0" fontId="11" fillId="0" borderId="1" xfId="0" applyFont="1" applyBorder="1" applyAlignment="1">
      <alignment horizontal="center"/>
    </xf>
    <xf numFmtId="0" fontId="11" fillId="0" borderId="23" xfId="0" applyFont="1" applyBorder="1" applyAlignment="1">
      <alignment horizontal="center" vertical="center"/>
    </xf>
    <xf numFmtId="0" fontId="11" fillId="0" borderId="37" xfId="0" applyFont="1" applyBorder="1" applyAlignment="1">
      <alignment horizontal="center" vertical="center"/>
    </xf>
    <xf numFmtId="0" fontId="11" fillId="0" borderId="20" xfId="0" applyFont="1" applyBorder="1" applyAlignment="1">
      <alignment horizontal="center"/>
    </xf>
    <xf numFmtId="0" fontId="11" fillId="0" borderId="24" xfId="0" applyFont="1" applyBorder="1" applyAlignment="1">
      <alignment horizontal="center" vertical="center" wrapText="1"/>
    </xf>
    <xf numFmtId="0" fontId="11" fillId="14" borderId="1" xfId="0" applyFont="1" applyFill="1" applyBorder="1" applyAlignment="1">
      <alignment horizontal="center"/>
    </xf>
    <xf numFmtId="0" fontId="0" fillId="0" borderId="57" xfId="0" applyFill="1" applyBorder="1" applyAlignment="1">
      <alignment horizontal="center"/>
    </xf>
    <xf numFmtId="0" fontId="0" fillId="0" borderId="45" xfId="0" applyFill="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17"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11" fillId="0" borderId="24" xfId="2" applyFont="1" applyFill="1" applyBorder="1" applyAlignment="1">
      <alignment horizontal="center" vertical="center" wrapText="1"/>
    </xf>
    <xf numFmtId="0" fontId="11" fillId="0" borderId="24" xfId="0" applyFont="1" applyFill="1" applyBorder="1" applyAlignment="1">
      <alignment horizontal="center"/>
    </xf>
    <xf numFmtId="0" fontId="11" fillId="0" borderId="1" xfId="2" applyFont="1" applyFill="1" applyBorder="1" applyAlignment="1">
      <alignment horizontal="center" vertical="center" wrapText="1"/>
    </xf>
    <xf numFmtId="0" fontId="15" fillId="0" borderId="34" xfId="0" applyFont="1" applyFill="1" applyBorder="1" applyAlignment="1">
      <alignment wrapText="1"/>
    </xf>
    <xf numFmtId="0" fontId="15" fillId="0" borderId="35" xfId="0" applyFont="1" applyFill="1" applyBorder="1" applyAlignment="1">
      <alignment horizontal="center"/>
    </xf>
    <xf numFmtId="0" fontId="15" fillId="0" borderId="1" xfId="0" applyFont="1" applyFill="1" applyBorder="1" applyAlignment="1">
      <alignment wrapText="1"/>
    </xf>
    <xf numFmtId="0" fontId="16" fillId="0" borderId="1" xfId="0" applyFont="1" applyFill="1" applyBorder="1" applyAlignment="1">
      <alignment horizontal="left" vertical="center" wrapText="1"/>
    </xf>
    <xf numFmtId="0" fontId="15" fillId="0" borderId="24" xfId="0" applyFont="1" applyFill="1" applyBorder="1" applyAlignment="1">
      <alignment horizontal="center"/>
    </xf>
    <xf numFmtId="0" fontId="15" fillId="0" borderId="58" xfId="0" applyFont="1" applyFill="1" applyBorder="1" applyAlignment="1">
      <alignment horizontal="center"/>
    </xf>
    <xf numFmtId="0" fontId="15" fillId="0" borderId="23" xfId="0" applyFont="1" applyFill="1" applyBorder="1" applyAlignment="1">
      <alignment wrapText="1"/>
    </xf>
    <xf numFmtId="0" fontId="16" fillId="0" borderId="23" xfId="0" applyFont="1" applyFill="1" applyBorder="1" applyAlignment="1">
      <alignment horizontal="left" vertical="center" wrapText="1"/>
    </xf>
    <xf numFmtId="0" fontId="15" fillId="0" borderId="17" xfId="0" applyFont="1" applyFill="1" applyBorder="1" applyAlignment="1">
      <alignment horizontal="center"/>
    </xf>
    <xf numFmtId="0" fontId="15" fillId="0" borderId="40" xfId="0" applyFont="1" applyFill="1" applyBorder="1" applyAlignment="1">
      <alignment horizontal="center"/>
    </xf>
    <xf numFmtId="0" fontId="15" fillId="0" borderId="20" xfId="0" applyFont="1" applyFill="1" applyBorder="1" applyAlignment="1">
      <alignment wrapText="1"/>
    </xf>
    <xf numFmtId="0" fontId="16" fillId="0" borderId="20" xfId="0" applyFont="1" applyFill="1" applyBorder="1" applyAlignment="1">
      <alignment horizontal="left" vertical="center" wrapText="1"/>
    </xf>
    <xf numFmtId="0" fontId="15" fillId="0" borderId="34" xfId="0" applyFont="1" applyFill="1" applyBorder="1" applyAlignment="1">
      <alignment vertical="center"/>
    </xf>
    <xf numFmtId="0" fontId="15" fillId="0" borderId="23" xfId="0" applyFont="1" applyFill="1" applyBorder="1" applyAlignment="1">
      <alignment vertical="center"/>
    </xf>
    <xf numFmtId="0" fontId="15" fillId="0" borderId="23" xfId="0" applyFont="1" applyFill="1" applyBorder="1" applyAlignment="1">
      <alignment horizontal="center" vertical="center" wrapText="1"/>
    </xf>
    <xf numFmtId="0" fontId="15" fillId="0" borderId="34" xfId="0" applyFont="1" applyFill="1" applyBorder="1"/>
    <xf numFmtId="0" fontId="15" fillId="0" borderId="20" xfId="0" applyFont="1" applyFill="1" applyBorder="1"/>
    <xf numFmtId="0" fontId="15" fillId="0" borderId="26" xfId="0" applyFont="1" applyFill="1" applyBorder="1" applyAlignment="1">
      <alignment horizontal="center" vertical="center"/>
    </xf>
    <xf numFmtId="0" fontId="15" fillId="0" borderId="1" xfId="0" applyFont="1" applyFill="1" applyBorder="1"/>
    <xf numFmtId="0" fontId="15" fillId="0" borderId="34" xfId="0" applyFont="1" applyFill="1" applyBorder="1" applyAlignment="1">
      <alignment horizontal="center" wrapText="1"/>
    </xf>
    <xf numFmtId="0" fontId="15" fillId="0" borderId="23" xfId="0" applyFont="1" applyFill="1" applyBorder="1"/>
    <xf numFmtId="0" fontId="11" fillId="0" borderId="1" xfId="0" applyFont="1" applyBorder="1" applyAlignment="1">
      <alignment horizontal="center"/>
    </xf>
    <xf numFmtId="0" fontId="11" fillId="0" borderId="42" xfId="0" applyFont="1" applyBorder="1" applyAlignment="1">
      <alignment horizontal="center" vertical="center"/>
    </xf>
    <xf numFmtId="0" fontId="11" fillId="0" borderId="45" xfId="0" applyFont="1" applyBorder="1" applyAlignment="1">
      <alignment horizontal="center" vertical="center"/>
    </xf>
    <xf numFmtId="0" fontId="11" fillId="0" borderId="24" xfId="0" applyFont="1" applyBorder="1" applyAlignment="1">
      <alignment horizontal="center" vertical="center"/>
    </xf>
    <xf numFmtId="0" fontId="12" fillId="0" borderId="50" xfId="0" applyFont="1" applyBorder="1" applyAlignment="1">
      <alignment horizontal="center"/>
    </xf>
    <xf numFmtId="0" fontId="12" fillId="0" borderId="51" xfId="0" applyFont="1" applyBorder="1" applyAlignment="1">
      <alignment horizontal="center"/>
    </xf>
    <xf numFmtId="0" fontId="12" fillId="0" borderId="52" xfId="0" applyFont="1" applyBorder="1" applyAlignment="1">
      <alignment horizontal="center"/>
    </xf>
    <xf numFmtId="0" fontId="11"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2" fontId="0" fillId="0" borderId="0" xfId="0" applyNumberFormat="1"/>
    <xf numFmtId="0" fontId="27" fillId="0" borderId="0" xfId="0" applyFont="1"/>
    <xf numFmtId="0" fontId="28" fillId="0" borderId="0" xfId="5"/>
    <xf numFmtId="0" fontId="11" fillId="0" borderId="1" xfId="0" applyFont="1" applyBorder="1" applyAlignment="1">
      <alignment horizontal="center"/>
    </xf>
    <xf numFmtId="0" fontId="11" fillId="0" borderId="51" xfId="0" applyFont="1" applyBorder="1" applyAlignment="1">
      <alignment horizontal="center"/>
    </xf>
    <xf numFmtId="0" fontId="11" fillId="0" borderId="45" xfId="0" applyFont="1" applyBorder="1" applyAlignment="1">
      <alignment horizontal="center" vertical="center"/>
    </xf>
    <xf numFmtId="0" fontId="11" fillId="0" borderId="20"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24" xfId="0" applyBorder="1" applyAlignment="1">
      <alignment horizontal="center" vertical="center"/>
    </xf>
    <xf numFmtId="0" fontId="0" fillId="0" borderId="1" xfId="0" applyBorder="1" applyAlignment="1">
      <alignment horizontal="center" vertical="center"/>
    </xf>
    <xf numFmtId="0" fontId="11" fillId="0" borderId="42" xfId="0" applyFont="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7"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52" xfId="0" applyFont="1" applyBorder="1" applyAlignment="1">
      <alignment horizontal="center" vertical="center" wrapText="1"/>
    </xf>
    <xf numFmtId="0" fontId="11" fillId="14" borderId="0" xfId="0" applyFont="1" applyFill="1" applyBorder="1" applyAlignment="1">
      <alignment horizontal="center"/>
    </xf>
    <xf numFmtId="1" fontId="11" fillId="0" borderId="1" xfId="0" applyNumberFormat="1" applyFont="1" applyFill="1" applyBorder="1" applyAlignment="1">
      <alignment horizontal="center"/>
    </xf>
    <xf numFmtId="1" fontId="11" fillId="0" borderId="1" xfId="0" applyNumberFormat="1" applyFont="1" applyBorder="1" applyAlignment="1">
      <alignment horizontal="center"/>
    </xf>
    <xf numFmtId="1" fontId="11" fillId="0" borderId="24" xfId="0" applyNumberFormat="1" applyFont="1" applyFill="1" applyBorder="1" applyAlignment="1">
      <alignment horizontal="center"/>
    </xf>
    <xf numFmtId="1" fontId="11" fillId="0" borderId="24" xfId="0" applyNumberFormat="1" applyFont="1" applyBorder="1" applyAlignment="1">
      <alignment horizontal="center"/>
    </xf>
    <xf numFmtId="1" fontId="11" fillId="0" borderId="51" xfId="0" applyNumberFormat="1" applyFont="1" applyBorder="1" applyAlignment="1">
      <alignment horizontal="center"/>
    </xf>
    <xf numFmtId="1" fontId="12" fillId="0" borderId="52" xfId="0" applyNumberFormat="1" applyFont="1" applyBorder="1" applyAlignment="1">
      <alignment horizontal="center"/>
    </xf>
    <xf numFmtId="0" fontId="0" fillId="0" borderId="0" xfId="0" applyAlignment="1">
      <alignment wrapText="1"/>
    </xf>
    <xf numFmtId="0" fontId="0" fillId="0" borderId="0" xfId="0" applyAlignment="1"/>
    <xf numFmtId="0" fontId="11" fillId="0" borderId="24" xfId="0" applyFont="1" applyBorder="1" applyAlignment="1">
      <alignment horizontal="center" wrapText="1"/>
    </xf>
    <xf numFmtId="0" fontId="12" fillId="0" borderId="50" xfId="0" applyFont="1" applyBorder="1" applyAlignment="1">
      <alignment horizontal="center" vertical="center"/>
    </xf>
    <xf numFmtId="0" fontId="11" fillId="0" borderId="3" xfId="0" applyFont="1" applyFill="1" applyBorder="1" applyAlignment="1">
      <alignment horizontal="left"/>
    </xf>
    <xf numFmtId="0" fontId="11" fillId="0" borderId="1" xfId="0" applyFont="1" applyBorder="1" applyAlignment="1">
      <alignment horizontal="center" wrapText="1"/>
    </xf>
    <xf numFmtId="0" fontId="11" fillId="0" borderId="1" xfId="0" applyFont="1" applyFill="1" applyBorder="1" applyAlignment="1">
      <alignment horizontal="center" vertical="center" wrapText="1"/>
    </xf>
    <xf numFmtId="0" fontId="30" fillId="0" borderId="52" xfId="0" applyFont="1" applyBorder="1" applyAlignment="1">
      <alignment horizontal="center"/>
    </xf>
    <xf numFmtId="0" fontId="11" fillId="0" borderId="24" xfId="0" applyFont="1" applyBorder="1" applyAlignment="1">
      <alignment horizontal="justify" vertical="center" wrapText="1"/>
    </xf>
    <xf numFmtId="0" fontId="12" fillId="0" borderId="46" xfId="0" applyFont="1" applyBorder="1" applyAlignment="1">
      <alignment horizontal="center" vertical="center" wrapText="1"/>
    </xf>
    <xf numFmtId="0" fontId="12" fillId="0" borderId="59" xfId="0" applyFont="1" applyBorder="1"/>
    <xf numFmtId="0" fontId="11" fillId="0" borderId="1" xfId="0" applyFont="1" applyBorder="1" applyAlignment="1">
      <alignment vertical="center" wrapText="1"/>
    </xf>
    <xf numFmtId="0" fontId="11" fillId="0" borderId="1" xfId="0" applyFont="1" applyBorder="1" applyAlignment="1">
      <alignment horizontal="left" vertical="center" wrapText="1"/>
    </xf>
    <xf numFmtId="0" fontId="11" fillId="0" borderId="1" xfId="0" applyFont="1" applyBorder="1" applyAlignment="1">
      <alignment wrapText="1"/>
    </xf>
    <xf numFmtId="0" fontId="11" fillId="0" borderId="1" xfId="0" applyFont="1" applyBorder="1" applyAlignment="1">
      <alignment vertical="center"/>
    </xf>
    <xf numFmtId="0" fontId="11" fillId="0" borderId="24" xfId="0" applyFont="1" applyBorder="1" applyAlignment="1">
      <alignment wrapText="1"/>
    </xf>
    <xf numFmtId="0" fontId="12" fillId="0" borderId="48" xfId="0" applyFont="1" applyBorder="1" applyAlignment="1">
      <alignment horizontal="center" vertical="center" wrapText="1"/>
    </xf>
    <xf numFmtId="0" fontId="11" fillId="0" borderId="0" xfId="0" applyFont="1" applyAlignment="1">
      <alignment horizontal="center"/>
    </xf>
    <xf numFmtId="0" fontId="11" fillId="0" borderId="1" xfId="0" applyFont="1" applyBorder="1" applyAlignment="1">
      <alignment horizontal="center"/>
    </xf>
    <xf numFmtId="0" fontId="0" fillId="0" borderId="1" xfId="0" applyBorder="1" applyAlignment="1">
      <alignment horizontal="center" vertical="center"/>
    </xf>
    <xf numFmtId="0" fontId="11" fillId="0" borderId="20" xfId="0" applyFont="1" applyBorder="1" applyAlignment="1">
      <alignment horizontal="center"/>
    </xf>
    <xf numFmtId="0" fontId="12" fillId="0" borderId="1" xfId="0" applyFont="1" applyBorder="1" applyAlignment="1">
      <alignment horizontal="center"/>
    </xf>
    <xf numFmtId="0" fontId="11" fillId="0" borderId="68" xfId="0" applyFont="1" applyFill="1" applyBorder="1" applyAlignment="1">
      <alignment horizontal="center"/>
    </xf>
    <xf numFmtId="10" fontId="11" fillId="0" borderId="1" xfId="3" applyNumberFormat="1" applyFont="1" applyBorder="1"/>
    <xf numFmtId="0" fontId="11" fillId="0" borderId="1" xfId="0" applyFont="1" applyFill="1" applyBorder="1" applyAlignment="1">
      <alignment vertical="center" wrapText="1"/>
    </xf>
    <xf numFmtId="0" fontId="0" fillId="0" borderId="18" xfId="0" applyBorder="1" applyAlignment="1">
      <alignment horizontal="center" vertical="center"/>
    </xf>
    <xf numFmtId="0" fontId="0" fillId="0" borderId="9" xfId="0" applyBorder="1" applyAlignment="1">
      <alignment horizontal="center" vertical="center"/>
    </xf>
    <xf numFmtId="0" fontId="5" fillId="0" borderId="6" xfId="1" applyFont="1" applyBorder="1" applyAlignment="1">
      <alignment horizontal="center" vertical="center" wrapText="1"/>
    </xf>
    <xf numFmtId="0" fontId="1" fillId="0" borderId="14" xfId="1" applyFont="1" applyBorder="1" applyAlignment="1">
      <alignment horizontal="center" vertical="center" wrapText="1"/>
    </xf>
    <xf numFmtId="0" fontId="2" fillId="0" borderId="3"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38"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40" xfId="1" applyFont="1" applyBorder="1" applyAlignment="1">
      <alignment horizontal="center" vertical="center" wrapText="1"/>
    </xf>
    <xf numFmtId="0" fontId="2" fillId="0" borderId="14" xfId="1" applyFont="1" applyBorder="1" applyAlignment="1">
      <alignment horizontal="center" vertical="center" wrapText="1"/>
    </xf>
    <xf numFmtId="0" fontId="0" fillId="0" borderId="21"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1" fillId="0" borderId="38" xfId="1" applyFill="1" applyBorder="1" applyAlignment="1">
      <alignment horizontal="center" vertical="center" wrapText="1"/>
    </xf>
    <xf numFmtId="0" fontId="1" fillId="0" borderId="39" xfId="1" applyFill="1" applyBorder="1" applyAlignment="1">
      <alignment horizontal="center" vertical="center" wrapText="1"/>
    </xf>
    <xf numFmtId="0" fontId="1" fillId="0" borderId="40" xfId="1" applyFill="1" applyBorder="1" applyAlignment="1">
      <alignment horizontal="center" vertical="center" wrapText="1"/>
    </xf>
    <xf numFmtId="0" fontId="1" fillId="0" borderId="38" xfId="1" applyBorder="1" applyAlignment="1">
      <alignment horizontal="center" vertical="center" wrapText="1"/>
    </xf>
    <xf numFmtId="0" fontId="1" fillId="0" borderId="39" xfId="1" applyBorder="1" applyAlignment="1">
      <alignment horizontal="center" vertical="center" wrapText="1"/>
    </xf>
    <xf numFmtId="0" fontId="2" fillId="2" borderId="34" xfId="1" applyFont="1" applyFill="1" applyBorder="1" applyAlignment="1">
      <alignment horizontal="center" vertical="center"/>
    </xf>
    <xf numFmtId="0" fontId="1" fillId="2" borderId="1" xfId="1" applyFill="1" applyBorder="1" applyAlignment="1">
      <alignment horizontal="center" vertical="center"/>
    </xf>
    <xf numFmtId="0" fontId="1" fillId="2" borderId="20" xfId="1" applyFill="1" applyBorder="1" applyAlignment="1">
      <alignment horizontal="center" vertical="center"/>
    </xf>
    <xf numFmtId="0" fontId="1" fillId="0" borderId="40" xfId="1" applyBorder="1" applyAlignment="1">
      <alignment horizontal="center" vertical="center" wrapText="1"/>
    </xf>
    <xf numFmtId="0" fontId="3" fillId="2" borderId="14" xfId="1" applyFont="1" applyFill="1" applyBorder="1" applyAlignment="1">
      <alignment horizontal="center" vertical="center"/>
    </xf>
    <xf numFmtId="0" fontId="3" fillId="2" borderId="3" xfId="1" applyFont="1" applyFill="1" applyBorder="1" applyAlignment="1">
      <alignment horizontal="center" vertical="center"/>
    </xf>
    <xf numFmtId="0" fontId="1" fillId="2" borderId="29" xfId="1" applyFill="1" applyBorder="1" applyAlignment="1">
      <alignment horizontal="center" vertical="center"/>
    </xf>
    <xf numFmtId="0" fontId="1" fillId="2" borderId="31" xfId="1" applyFill="1" applyBorder="1" applyAlignment="1">
      <alignment horizontal="center" vertical="center"/>
    </xf>
    <xf numFmtId="0" fontId="10"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34" xfId="0" applyFont="1" applyBorder="1" applyAlignment="1">
      <alignment horizontal="center" vertical="top" wrapText="1"/>
    </xf>
    <xf numFmtId="0" fontId="10" fillId="0" borderId="1" xfId="0" applyFont="1" applyBorder="1" applyAlignment="1">
      <alignment horizontal="center" vertical="top" wrapText="1"/>
    </xf>
    <xf numFmtId="0" fontId="10" fillId="0" borderId="23" xfId="0" applyFont="1" applyBorder="1" applyAlignment="1">
      <alignment horizontal="center" vertical="top" wrapText="1"/>
    </xf>
    <xf numFmtId="0" fontId="3" fillId="2" borderId="7" xfId="1" applyFont="1" applyFill="1" applyBorder="1" applyAlignment="1">
      <alignment horizontal="center" vertical="center"/>
    </xf>
    <xf numFmtId="0" fontId="3" fillId="2" borderId="8" xfId="1" applyFont="1" applyFill="1" applyBorder="1" applyAlignment="1">
      <alignment horizontal="center" vertical="center"/>
    </xf>
    <xf numFmtId="0" fontId="3" fillId="2" borderId="29" xfId="1" applyFont="1" applyFill="1" applyBorder="1" applyAlignment="1">
      <alignment horizontal="center" vertical="center"/>
    </xf>
    <xf numFmtId="0" fontId="3" fillId="2" borderId="2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30" xfId="1" applyFont="1" applyFill="1" applyBorder="1" applyAlignment="1">
      <alignment horizontal="center" vertical="center"/>
    </xf>
    <xf numFmtId="0" fontId="1" fillId="2" borderId="32" xfId="1" applyFill="1" applyBorder="1" applyAlignment="1">
      <alignment horizontal="center"/>
    </xf>
    <xf numFmtId="0" fontId="1" fillId="2" borderId="33" xfId="1" applyFill="1" applyBorder="1" applyAlignment="1">
      <alignment horizontal="center"/>
    </xf>
    <xf numFmtId="0" fontId="2" fillId="4" borderId="5" xfId="1" applyFont="1" applyFill="1" applyBorder="1" applyAlignment="1">
      <alignment horizontal="center"/>
    </xf>
    <xf numFmtId="0" fontId="1" fillId="4" borderId="28" xfId="1" applyFill="1" applyBorder="1" applyAlignment="1">
      <alignment horizontal="center"/>
    </xf>
    <xf numFmtId="0" fontId="1" fillId="4" borderId="6" xfId="1" applyFill="1" applyBorder="1" applyAlignment="1">
      <alignment horizontal="center"/>
    </xf>
    <xf numFmtId="0" fontId="1" fillId="4" borderId="5" xfId="1" applyFill="1" applyBorder="1" applyAlignment="1">
      <alignment horizontal="center"/>
    </xf>
    <xf numFmtId="0" fontId="3" fillId="2" borderId="10" xfId="1" applyFont="1" applyFill="1" applyBorder="1" applyAlignment="1">
      <alignment horizontal="center" vertical="center"/>
    </xf>
    <xf numFmtId="0" fontId="6" fillId="5" borderId="20" xfId="1" applyFont="1" applyFill="1" applyBorder="1" applyAlignment="1">
      <alignment horizontal="center" vertical="center"/>
    </xf>
    <xf numFmtId="0" fontId="6" fillId="5" borderId="3"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0" xfId="1" applyFont="1" applyFill="1" applyAlignment="1">
      <alignment horizontal="center" vertical="center"/>
    </xf>
    <xf numFmtId="0" fontId="3" fillId="2" borderId="25" xfId="1" applyFont="1" applyFill="1" applyBorder="1" applyAlignment="1">
      <alignment horizontal="center" vertical="center"/>
    </xf>
    <xf numFmtId="0" fontId="1" fillId="0" borderId="34" xfId="1"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0" borderId="23" xfId="1" applyFont="1" applyFill="1" applyBorder="1" applyAlignment="1">
      <alignment horizontal="center" vertical="center" wrapText="1"/>
    </xf>
    <xf numFmtId="0" fontId="11" fillId="0" borderId="50" xfId="0" applyFont="1" applyBorder="1" applyAlignment="1">
      <alignment horizontal="center"/>
    </xf>
    <xf numFmtId="0" fontId="11" fillId="0" borderId="51" xfId="0" applyFont="1" applyBorder="1" applyAlignment="1">
      <alignment horizontal="center"/>
    </xf>
    <xf numFmtId="0" fontId="11" fillId="0" borderId="14" xfId="0" applyFont="1" applyBorder="1" applyAlignment="1">
      <alignment horizontal="center"/>
    </xf>
    <xf numFmtId="0" fontId="11" fillId="0" borderId="3" xfId="0" applyFont="1" applyBorder="1" applyAlignment="1">
      <alignment horizontal="center"/>
    </xf>
    <xf numFmtId="0" fontId="11" fillId="0" borderId="17" xfId="0" applyFont="1"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8" fillId="6" borderId="41" xfId="0" applyFont="1" applyFill="1" applyBorder="1" applyAlignment="1">
      <alignment horizontal="center" vertical="center" wrapText="1" readingOrder="1"/>
    </xf>
    <xf numFmtId="0" fontId="8" fillId="6" borderId="42" xfId="0" applyFont="1" applyFill="1" applyBorder="1" applyAlignment="1">
      <alignment horizontal="center" vertical="center" wrapText="1" readingOrder="1"/>
    </xf>
    <xf numFmtId="0" fontId="8" fillId="6" borderId="34" xfId="0" applyFont="1" applyFill="1" applyBorder="1" applyAlignment="1">
      <alignment horizontal="center" vertical="center" wrapText="1" readingOrder="1"/>
    </xf>
    <xf numFmtId="0" fontId="8" fillId="6" borderId="1" xfId="0" applyFont="1" applyFill="1" applyBorder="1" applyAlignment="1">
      <alignment horizontal="center" vertical="center" wrapText="1" readingOrder="1"/>
    </xf>
    <xf numFmtId="0" fontId="8" fillId="6" borderId="35" xfId="0" applyFont="1" applyFill="1" applyBorder="1" applyAlignment="1">
      <alignment horizontal="center" vertical="center" wrapText="1" readingOrder="1"/>
    </xf>
    <xf numFmtId="0" fontId="8" fillId="6" borderId="36" xfId="0" applyFont="1" applyFill="1" applyBorder="1" applyAlignment="1">
      <alignment horizontal="center" vertical="center" wrapText="1" readingOrder="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0" fillId="0" borderId="32" xfId="0" applyBorder="1" applyAlignment="1">
      <alignment horizontal="center"/>
    </xf>
    <xf numFmtId="0" fontId="0" fillId="0" borderId="64" xfId="0" applyBorder="1" applyAlignment="1">
      <alignment horizontal="center"/>
    </xf>
    <xf numFmtId="0" fontId="0" fillId="0" borderId="60" xfId="0" applyBorder="1" applyAlignment="1">
      <alignment horizontal="center"/>
    </xf>
    <xf numFmtId="0" fontId="7" fillId="7" borderId="34" xfId="0" applyFont="1" applyFill="1" applyBorder="1" applyAlignment="1">
      <alignment horizontal="center"/>
    </xf>
    <xf numFmtId="0" fontId="7" fillId="7" borderId="35" xfId="0" applyFont="1" applyFill="1" applyBorder="1" applyAlignment="1">
      <alignment horizontal="center"/>
    </xf>
    <xf numFmtId="0" fontId="7" fillId="7" borderId="34" xfId="0" applyFont="1" applyFill="1" applyBorder="1" applyAlignment="1">
      <alignment horizontal="center" vertical="center"/>
    </xf>
    <xf numFmtId="0" fontId="7" fillId="7" borderId="1" xfId="0" applyFont="1" applyFill="1" applyBorder="1" applyAlignment="1">
      <alignment horizontal="center" vertical="center"/>
    </xf>
    <xf numFmtId="0" fontId="7" fillId="7" borderId="41" xfId="0" applyFont="1" applyFill="1" applyBorder="1" applyAlignment="1">
      <alignment horizontal="center" vertical="center"/>
    </xf>
    <xf numFmtId="0" fontId="7" fillId="7" borderId="42" xfId="0" applyFont="1" applyFill="1" applyBorder="1" applyAlignment="1">
      <alignment horizontal="center" vertical="center"/>
    </xf>
    <xf numFmtId="0" fontId="9" fillId="8" borderId="34" xfId="0" applyFont="1" applyFill="1" applyBorder="1" applyAlignment="1">
      <alignment horizontal="center" vertical="center"/>
    </xf>
    <xf numFmtId="0" fontId="9" fillId="8" borderId="35" xfId="0" applyFont="1" applyFill="1" applyBorder="1" applyAlignment="1">
      <alignment horizontal="center" vertical="center"/>
    </xf>
    <xf numFmtId="0" fontId="7" fillId="8" borderId="34" xfId="0" applyFont="1" applyFill="1" applyBorder="1" applyAlignment="1">
      <alignment horizontal="center" vertical="center"/>
    </xf>
    <xf numFmtId="0" fontId="7" fillId="8" borderId="1" xfId="0" applyFont="1" applyFill="1" applyBorder="1" applyAlignment="1">
      <alignment horizontal="center" vertical="center"/>
    </xf>
    <xf numFmtId="0" fontId="7" fillId="8" borderId="41" xfId="0" applyFont="1" applyFill="1" applyBorder="1" applyAlignment="1">
      <alignment horizontal="center" vertical="center"/>
    </xf>
    <xf numFmtId="0" fontId="7" fillId="8" borderId="42" xfId="0" applyFont="1" applyFill="1" applyBorder="1" applyAlignment="1">
      <alignment horizontal="center" vertical="center"/>
    </xf>
    <xf numFmtId="0" fontId="12" fillId="0" borderId="29"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0" fillId="0" borderId="54" xfId="0" applyBorder="1" applyAlignment="1">
      <alignment horizontal="center"/>
    </xf>
    <xf numFmtId="0" fontId="11" fillId="4" borderId="1" xfId="0" applyFont="1" applyFill="1" applyBorder="1" applyAlignment="1">
      <alignment horizontal="center" vertical="center"/>
    </xf>
    <xf numFmtId="0" fontId="11" fillId="4" borderId="1" xfId="0" applyFont="1" applyFill="1" applyBorder="1" applyAlignment="1">
      <alignment horizontal="center"/>
    </xf>
    <xf numFmtId="0" fontId="0" fillId="4" borderId="1" xfId="0" applyFill="1" applyBorder="1" applyAlignment="1">
      <alignment horizontal="center" vertical="center"/>
    </xf>
    <xf numFmtId="0" fontId="12" fillId="0" borderId="1" xfId="0" applyFont="1" applyBorder="1" applyAlignment="1">
      <alignment horizontal="center" vertical="center"/>
    </xf>
    <xf numFmtId="0" fontId="12" fillId="0" borderId="23" xfId="0" applyFont="1" applyBorder="1" applyAlignment="1">
      <alignment horizontal="center" vertical="center"/>
    </xf>
    <xf numFmtId="0" fontId="12" fillId="0" borderId="1"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2" fillId="0" borderId="67" xfId="0" applyFont="1" applyFill="1" applyBorder="1" applyAlignment="1">
      <alignment horizontal="center"/>
    </xf>
    <xf numFmtId="0" fontId="12" fillId="0" borderId="64" xfId="0" applyFont="1" applyFill="1" applyBorder="1" applyAlignment="1">
      <alignment horizontal="center"/>
    </xf>
    <xf numFmtId="0" fontId="12" fillId="0" borderId="33" xfId="0" applyFont="1" applyFill="1" applyBorder="1" applyAlignment="1">
      <alignment horizontal="center"/>
    </xf>
    <xf numFmtId="0" fontId="12" fillId="0" borderId="32" xfId="0" applyFont="1" applyFill="1" applyBorder="1" applyAlignment="1">
      <alignment horizontal="center"/>
    </xf>
    <xf numFmtId="0" fontId="12" fillId="0" borderId="60" xfId="0" applyFont="1" applyFill="1" applyBorder="1" applyAlignment="1">
      <alignment horizontal="center"/>
    </xf>
    <xf numFmtId="0" fontId="0" fillId="12" borderId="5" xfId="0" applyFill="1" applyBorder="1" applyAlignment="1">
      <alignment horizontal="center"/>
    </xf>
    <xf numFmtId="0" fontId="0" fillId="12" borderId="6" xfId="0" applyFill="1" applyBorder="1" applyAlignment="1">
      <alignment horizontal="center"/>
    </xf>
    <xf numFmtId="0" fontId="0" fillId="0" borderId="0" xfId="0" applyAlignment="1">
      <alignment horizontal="center"/>
    </xf>
    <xf numFmtId="0" fontId="0" fillId="4" borderId="20" xfId="0" applyFill="1" applyBorder="1" applyAlignment="1">
      <alignment horizontal="center" vertical="center"/>
    </xf>
    <xf numFmtId="0" fontId="0" fillId="4" borderId="3" xfId="0" applyFill="1" applyBorder="1" applyAlignment="1">
      <alignment horizontal="center" vertical="center"/>
    </xf>
    <xf numFmtId="0" fontId="0" fillId="4" borderId="24" xfId="0" applyFill="1" applyBorder="1" applyAlignment="1">
      <alignment horizontal="center" vertical="center"/>
    </xf>
    <xf numFmtId="0" fontId="12" fillId="0" borderId="67" xfId="0" applyFont="1" applyFill="1" applyBorder="1" applyAlignment="1">
      <alignment horizontal="center" vertical="center" wrapText="1"/>
    </xf>
    <xf numFmtId="0" fontId="12" fillId="0" borderId="65" xfId="0" applyFont="1" applyFill="1" applyBorder="1" applyAlignment="1">
      <alignment horizontal="center" vertical="center" wrapText="1"/>
    </xf>
    <xf numFmtId="0" fontId="12" fillId="0" borderId="66"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46" xfId="0" applyFont="1" applyFill="1" applyBorder="1" applyAlignment="1">
      <alignment horizontal="center"/>
    </xf>
    <xf numFmtId="0" fontId="12" fillId="0" borderId="47" xfId="0" applyFont="1" applyFill="1" applyBorder="1" applyAlignment="1">
      <alignment horizontal="center"/>
    </xf>
    <xf numFmtId="0" fontId="12" fillId="0" borderId="48" xfId="0" applyFont="1" applyFill="1" applyBorder="1" applyAlignment="1">
      <alignment horizontal="center"/>
    </xf>
    <xf numFmtId="0" fontId="11" fillId="8" borderId="1" xfId="0" applyFont="1" applyFill="1" applyBorder="1" applyAlignment="1">
      <alignment horizont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7" fillId="0" borderId="1" xfId="0" applyFont="1" applyBorder="1" applyAlignment="1">
      <alignment horizontal="center"/>
    </xf>
    <xf numFmtId="0" fontId="7" fillId="4" borderId="1" xfId="0" applyFont="1" applyFill="1" applyBorder="1" applyAlignment="1">
      <alignment horizontal="center"/>
    </xf>
    <xf numFmtId="0" fontId="11" fillId="4" borderId="1" xfId="0" applyFont="1" applyFill="1" applyBorder="1" applyAlignment="1">
      <alignment horizontal="center" wrapText="1"/>
    </xf>
    <xf numFmtId="0" fontId="11" fillId="4" borderId="1" xfId="0" applyFont="1" applyFill="1" applyBorder="1" applyAlignment="1">
      <alignment horizontal="center" vertical="center" wrapText="1"/>
    </xf>
    <xf numFmtId="0" fontId="22" fillId="7" borderId="0" xfId="0" applyFont="1" applyFill="1" applyBorder="1" applyAlignment="1">
      <alignment horizontal="center"/>
    </xf>
    <xf numFmtId="0" fontId="11" fillId="4" borderId="2" xfId="0" applyFont="1" applyFill="1" applyBorder="1" applyAlignment="1">
      <alignment horizontal="center"/>
    </xf>
    <xf numFmtId="0" fontId="11" fillId="4" borderId="0" xfId="0" applyFont="1" applyFill="1" applyBorder="1" applyAlignment="1">
      <alignment horizontal="center"/>
    </xf>
    <xf numFmtId="0" fontId="11" fillId="7" borderId="1" xfId="0" applyFont="1" applyFill="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11" fillId="0" borderId="54" xfId="0" applyFont="1" applyBorder="1" applyAlignment="1">
      <alignment horizontal="center"/>
    </xf>
    <xf numFmtId="0" fontId="12" fillId="0" borderId="41"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34" xfId="0" applyFont="1" applyFill="1" applyBorder="1" applyAlignment="1">
      <alignment horizontal="center"/>
    </xf>
    <xf numFmtId="0" fontId="12" fillId="0" borderId="1" xfId="0" applyFont="1" applyFill="1" applyBorder="1" applyAlignment="1">
      <alignment horizontal="center"/>
    </xf>
    <xf numFmtId="0" fontId="0" fillId="0" borderId="24" xfId="0"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0" fillId="0" borderId="1" xfId="0" applyBorder="1" applyAlignment="1">
      <alignment horizontal="center" vertical="center" wrapText="1"/>
    </xf>
    <xf numFmtId="0" fontId="0" fillId="0" borderId="23" xfId="0" applyBorder="1" applyAlignment="1">
      <alignment horizontal="center" vertical="center" wrapText="1"/>
    </xf>
    <xf numFmtId="0" fontId="11" fillId="7" borderId="46" xfId="0" applyFont="1" applyFill="1" applyBorder="1" applyAlignment="1">
      <alignment horizontal="center"/>
    </xf>
    <xf numFmtId="0" fontId="11" fillId="7" borderId="47" xfId="0" applyFont="1" applyFill="1" applyBorder="1" applyAlignment="1">
      <alignment horizontal="center"/>
    </xf>
    <xf numFmtId="0" fontId="11" fillId="7" borderId="48" xfId="0" applyFont="1" applyFill="1" applyBorder="1" applyAlignment="1">
      <alignment horizontal="center"/>
    </xf>
    <xf numFmtId="0" fontId="11" fillId="7" borderId="57" xfId="0" applyFont="1" applyFill="1" applyBorder="1" applyAlignment="1">
      <alignment horizontal="center" vertical="center"/>
    </xf>
    <xf numFmtId="0" fontId="11" fillId="7" borderId="45" xfId="0" applyFont="1" applyFill="1" applyBorder="1" applyAlignment="1">
      <alignment horizontal="center" vertical="center"/>
    </xf>
    <xf numFmtId="0" fontId="11" fillId="7" borderId="24" xfId="0" applyFont="1" applyFill="1" applyBorder="1" applyAlignment="1">
      <alignment horizontal="center" wrapText="1"/>
    </xf>
    <xf numFmtId="0" fontId="11" fillId="7" borderId="23" xfId="0" applyFont="1" applyFill="1" applyBorder="1" applyAlignment="1">
      <alignment horizontal="center" wrapText="1"/>
    </xf>
    <xf numFmtId="0" fontId="11" fillId="7" borderId="24"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7" borderId="24" xfId="0" applyFont="1" applyFill="1" applyBorder="1" applyAlignment="1">
      <alignment horizontal="center" vertical="center"/>
    </xf>
    <xf numFmtId="0" fontId="11" fillId="7" borderId="23" xfId="0" applyFont="1" applyFill="1" applyBorder="1" applyAlignment="1">
      <alignment horizontal="center" vertical="center"/>
    </xf>
    <xf numFmtId="0" fontId="0" fillId="7" borderId="24" xfId="0" applyFill="1" applyBorder="1" applyAlignment="1">
      <alignment horizontal="center" vertical="center" wrapText="1"/>
    </xf>
    <xf numFmtId="0" fontId="0" fillId="7" borderId="23" xfId="0" applyFill="1" applyBorder="1" applyAlignment="1">
      <alignment horizontal="center" vertical="center" wrapText="1"/>
    </xf>
    <xf numFmtId="0" fontId="11" fillId="7" borderId="58" xfId="0" applyFont="1" applyFill="1" applyBorder="1" applyAlignment="1">
      <alignment horizontal="center" wrapText="1"/>
    </xf>
    <xf numFmtId="0" fontId="11" fillId="7" borderId="37" xfId="0" applyFont="1" applyFill="1" applyBorder="1" applyAlignment="1">
      <alignment horizontal="center" wrapText="1"/>
    </xf>
    <xf numFmtId="0" fontId="0" fillId="0" borderId="11" xfId="0" applyBorder="1" applyAlignment="1">
      <alignment horizontal="center"/>
    </xf>
    <xf numFmtId="0" fontId="0" fillId="0" borderId="14" xfId="0" applyBorder="1" applyAlignment="1">
      <alignment horizontal="center"/>
    </xf>
    <xf numFmtId="0" fontId="0" fillId="0" borderId="38" xfId="0" applyBorder="1" applyAlignment="1">
      <alignment horizontal="center"/>
    </xf>
    <xf numFmtId="0" fontId="0" fillId="0" borderId="34" xfId="0" applyBorder="1" applyAlignment="1">
      <alignment horizontal="center" wrapText="1"/>
    </xf>
    <xf numFmtId="0" fontId="0" fillId="0" borderId="23" xfId="0" applyBorder="1" applyAlignment="1">
      <alignment horizont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41" xfId="0" applyBorder="1" applyAlignment="1">
      <alignment horizontal="center" vertical="center"/>
    </xf>
    <xf numFmtId="0" fontId="0" fillId="0" borderId="45" xfId="0" applyBorder="1" applyAlignment="1">
      <alignment horizontal="center" vertical="center"/>
    </xf>
    <xf numFmtId="0" fontId="0" fillId="0" borderId="8" xfId="0" applyFill="1" applyBorder="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0" fillId="0" borderId="52" xfId="0" applyFill="1" applyBorder="1" applyAlignment="1">
      <alignment horizontal="center"/>
    </xf>
    <xf numFmtId="0" fontId="0" fillId="0" borderId="58" xfId="0" applyBorder="1" applyAlignment="1">
      <alignment horizontal="center" vertical="center"/>
    </xf>
    <xf numFmtId="0" fontId="15" fillId="0" borderId="34"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5" fillId="0" borderId="34" xfId="0" applyFont="1" applyFill="1" applyBorder="1" applyAlignment="1">
      <alignment horizontal="center" vertical="center"/>
    </xf>
    <xf numFmtId="0" fontId="25" fillId="0" borderId="35"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25" fillId="0" borderId="1" xfId="0" applyFont="1" applyFill="1" applyBorder="1" applyAlignment="1">
      <alignment horizontal="center" vertical="center"/>
    </xf>
    <xf numFmtId="0" fontId="25" fillId="0" borderId="23" xfId="0" applyFont="1" applyFill="1" applyBorder="1" applyAlignment="1">
      <alignment horizontal="center" vertical="center"/>
    </xf>
    <xf numFmtId="0" fontId="25" fillId="0" borderId="41" xfId="0" applyFont="1" applyFill="1" applyBorder="1" applyAlignment="1">
      <alignment horizontal="center" vertical="center"/>
    </xf>
    <xf numFmtId="0" fontId="25" fillId="0" borderId="42" xfId="0" applyFont="1" applyFill="1" applyBorder="1" applyAlignment="1">
      <alignment horizontal="center" vertical="center"/>
    </xf>
    <xf numFmtId="0" fontId="25" fillId="0" borderId="45" xfId="0" applyFont="1" applyFill="1" applyBorder="1" applyAlignment="1">
      <alignment horizontal="center" vertical="center"/>
    </xf>
    <xf numFmtId="0" fontId="25" fillId="0" borderId="34"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41" xfId="0" applyFont="1" applyFill="1" applyBorder="1" applyAlignment="1">
      <alignment horizontal="center" vertical="center"/>
    </xf>
    <xf numFmtId="0" fontId="15" fillId="0" borderId="45" xfId="0" applyFont="1" applyFill="1" applyBorder="1" applyAlignment="1">
      <alignment horizontal="center" vertical="center"/>
    </xf>
    <xf numFmtId="0" fontId="15" fillId="0" borderId="20" xfId="0" applyFont="1" applyFill="1"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20" xfId="0" applyBorder="1" applyAlignment="1">
      <alignment horizontal="center" vertical="center"/>
    </xf>
    <xf numFmtId="0" fontId="0" fillId="12" borderId="46" xfId="0" applyFill="1" applyBorder="1" applyAlignment="1">
      <alignment horizontal="center" vertical="center"/>
    </xf>
    <xf numFmtId="0" fontId="0" fillId="12" borderId="47" xfId="0" applyFill="1" applyBorder="1" applyAlignment="1">
      <alignment horizontal="center" vertical="center"/>
    </xf>
    <xf numFmtId="0" fontId="0" fillId="12" borderId="48" xfId="0" applyFill="1" applyBorder="1" applyAlignment="1">
      <alignment horizontal="center" vertical="center"/>
    </xf>
    <xf numFmtId="9" fontId="0" fillId="0" borderId="49" xfId="3" applyFont="1" applyBorder="1" applyAlignment="1">
      <alignment horizontal="center" vertical="center"/>
    </xf>
    <xf numFmtId="9" fontId="0" fillId="0" borderId="58" xfId="3" applyFont="1" applyBorder="1" applyAlignment="1">
      <alignment horizontal="center" vertical="center"/>
    </xf>
    <xf numFmtId="9" fontId="0" fillId="0" borderId="40" xfId="3" applyFont="1" applyBorder="1" applyAlignment="1">
      <alignment horizontal="center" vertical="center"/>
    </xf>
    <xf numFmtId="0" fontId="0" fillId="12" borderId="1" xfId="0" applyFill="1" applyBorder="1" applyAlignment="1">
      <alignment horizontal="center" vertical="center"/>
    </xf>
    <xf numFmtId="0" fontId="11" fillId="0" borderId="41"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52" xfId="0" applyFont="1" applyBorder="1" applyAlignment="1">
      <alignment horizontal="center"/>
    </xf>
    <xf numFmtId="0" fontId="11" fillId="14" borderId="5" xfId="0" applyFont="1" applyFill="1" applyBorder="1" applyAlignment="1">
      <alignment horizontal="center"/>
    </xf>
    <xf numFmtId="0" fontId="11" fillId="14" borderId="6" xfId="0" applyFont="1" applyFill="1" applyBorder="1" applyAlignment="1">
      <alignment horizontal="center"/>
    </xf>
    <xf numFmtId="0" fontId="11" fillId="0" borderId="36" xfId="0" applyFont="1" applyBorder="1" applyAlignment="1">
      <alignment horizontal="center"/>
    </xf>
    <xf numFmtId="0" fontId="11" fillId="0" borderId="42" xfId="0" applyFont="1" applyBorder="1" applyAlignment="1">
      <alignment horizontal="center" vertical="center"/>
    </xf>
    <xf numFmtId="0" fontId="11" fillId="0" borderId="45" xfId="0" applyFont="1" applyBorder="1" applyAlignment="1">
      <alignment horizontal="center" vertical="center"/>
    </xf>
    <xf numFmtId="0" fontId="11" fillId="0" borderId="20" xfId="0" applyFont="1" applyBorder="1" applyAlignment="1">
      <alignment horizontal="center"/>
    </xf>
    <xf numFmtId="0" fontId="0" fillId="0" borderId="0" xfId="0" applyAlignment="1">
      <alignment horizontal="center" vertical="center" wrapText="1"/>
    </xf>
    <xf numFmtId="0" fontId="12" fillId="0" borderId="50" xfId="0" applyFont="1" applyBorder="1" applyAlignment="1">
      <alignment horizontal="center"/>
    </xf>
    <xf numFmtId="0" fontId="12" fillId="0" borderId="51" xfId="0" applyFont="1" applyBorder="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center"/>
    </xf>
    <xf numFmtId="0" fontId="12" fillId="3" borderId="50" xfId="0" applyFont="1" applyFill="1" applyBorder="1" applyAlignment="1">
      <alignment horizontal="center" vertical="center"/>
    </xf>
    <xf numFmtId="0" fontId="12" fillId="3" borderId="51" xfId="0" applyFont="1" applyFill="1" applyBorder="1" applyAlignment="1">
      <alignment horizontal="center" vertical="center"/>
    </xf>
    <xf numFmtId="0" fontId="12" fillId="3" borderId="51" xfId="0" applyFont="1" applyFill="1" applyBorder="1" applyAlignment="1">
      <alignment horizontal="center" vertical="center" wrapText="1"/>
    </xf>
    <xf numFmtId="0" fontId="29" fillId="3" borderId="52" xfId="0" applyFont="1" applyFill="1" applyBorder="1" applyAlignment="1">
      <alignment horizontal="center" vertical="center" wrapText="1"/>
    </xf>
  </cellXfs>
  <cellStyles count="6">
    <cellStyle name="Comma" xfId="4" builtinId="3"/>
    <cellStyle name="Hyperlink" xfId="5" builtinId="8"/>
    <cellStyle name="Normal" xfId="0" builtinId="0"/>
    <cellStyle name="Normal 2" xfId="1"/>
    <cellStyle name="Normal 3"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Kecepatan 85 Persentil</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'Kec. sesaat'!$J$8:$J$23</c:f>
              <c:numCache>
                <c:formatCode>0.00</c:formatCode>
                <c:ptCount val="16"/>
                <c:pt idx="0">
                  <c:v>43</c:v>
                </c:pt>
                <c:pt idx="1">
                  <c:v>45</c:v>
                </c:pt>
                <c:pt idx="2">
                  <c:v>47</c:v>
                </c:pt>
                <c:pt idx="3">
                  <c:v>48</c:v>
                </c:pt>
                <c:pt idx="4">
                  <c:v>49</c:v>
                </c:pt>
                <c:pt idx="5">
                  <c:v>50</c:v>
                </c:pt>
                <c:pt idx="6">
                  <c:v>51</c:v>
                </c:pt>
                <c:pt idx="7">
                  <c:v>52</c:v>
                </c:pt>
                <c:pt idx="8">
                  <c:v>53</c:v>
                </c:pt>
                <c:pt idx="9">
                  <c:v>54</c:v>
                </c:pt>
                <c:pt idx="10">
                  <c:v>55</c:v>
                </c:pt>
                <c:pt idx="11">
                  <c:v>56</c:v>
                </c:pt>
                <c:pt idx="12">
                  <c:v>57</c:v>
                </c:pt>
                <c:pt idx="13">
                  <c:v>58</c:v>
                </c:pt>
                <c:pt idx="14">
                  <c:v>68</c:v>
                </c:pt>
                <c:pt idx="15">
                  <c:v>70</c:v>
                </c:pt>
              </c:numCache>
            </c:numRef>
          </c:cat>
          <c:val>
            <c:numRef>
              <c:f>'Kec. sesaat'!$M$8:$M$23</c:f>
              <c:numCache>
                <c:formatCode>0%</c:formatCode>
                <c:ptCount val="16"/>
                <c:pt idx="0">
                  <c:v>3.3333333333333333E-2</c:v>
                </c:pt>
                <c:pt idx="1">
                  <c:v>6.6666666666666666E-2</c:v>
                </c:pt>
                <c:pt idx="2">
                  <c:v>0.1</c:v>
                </c:pt>
                <c:pt idx="3">
                  <c:v>0.2</c:v>
                </c:pt>
                <c:pt idx="4">
                  <c:v>0.23333333333333334</c:v>
                </c:pt>
                <c:pt idx="5">
                  <c:v>0.36666666666666664</c:v>
                </c:pt>
                <c:pt idx="6">
                  <c:v>0.43333333333333335</c:v>
                </c:pt>
                <c:pt idx="7">
                  <c:v>0.5</c:v>
                </c:pt>
                <c:pt idx="8">
                  <c:v>0.6</c:v>
                </c:pt>
                <c:pt idx="9">
                  <c:v>0.66666666666666663</c:v>
                </c:pt>
                <c:pt idx="10">
                  <c:v>0.73333333333333328</c:v>
                </c:pt>
                <c:pt idx="11">
                  <c:v>0.76666666666666672</c:v>
                </c:pt>
                <c:pt idx="12">
                  <c:v>0.83333333333333337</c:v>
                </c:pt>
                <c:pt idx="13">
                  <c:v>0.93333333333333335</c:v>
                </c:pt>
                <c:pt idx="14">
                  <c:v>0.96666666666666667</c:v>
                </c:pt>
                <c:pt idx="15">
                  <c:v>1</c:v>
                </c:pt>
              </c:numCache>
            </c:numRef>
          </c:val>
          <c:smooth val="0"/>
          <c:extLst>
            <c:ext xmlns:c16="http://schemas.microsoft.com/office/drawing/2014/chart" uri="{C3380CC4-5D6E-409C-BE32-E72D297353CC}">
              <c16:uniqueId val="{00000000-55BF-4901-B44C-0B818EF23A40}"/>
            </c:ext>
          </c:extLst>
        </c:ser>
        <c:dLbls>
          <c:dLblPos val="t"/>
          <c:showLegendKey val="0"/>
          <c:showVal val="1"/>
          <c:showCatName val="0"/>
          <c:showSerName val="0"/>
          <c:showPercent val="0"/>
          <c:showBubbleSize val="0"/>
        </c:dLbls>
        <c:marker val="1"/>
        <c:smooth val="0"/>
        <c:axId val="487981896"/>
        <c:axId val="487975664"/>
      </c:lineChart>
      <c:catAx>
        <c:axId val="487981896"/>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75664"/>
        <c:crosses val="autoZero"/>
        <c:auto val="1"/>
        <c:lblAlgn val="ctr"/>
        <c:lblOffset val="100"/>
        <c:noMultiLvlLbl val="0"/>
      </c:catAx>
      <c:valAx>
        <c:axId val="48797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81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a:t>
            </a:r>
            <a:r>
              <a:rPr lang="en-US" baseline="0"/>
              <a:t> 85 Persentil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Kec. sesaat 2'!$J$50:$J$66</c:f>
              <c:numCache>
                <c:formatCode>0.00</c:formatCode>
                <c:ptCount val="17"/>
                <c:pt idx="0">
                  <c:v>38</c:v>
                </c:pt>
                <c:pt idx="1">
                  <c:v>41</c:v>
                </c:pt>
                <c:pt idx="2">
                  <c:v>44</c:v>
                </c:pt>
                <c:pt idx="3">
                  <c:v>46</c:v>
                </c:pt>
                <c:pt idx="4">
                  <c:v>47</c:v>
                </c:pt>
                <c:pt idx="5">
                  <c:v>48</c:v>
                </c:pt>
                <c:pt idx="6">
                  <c:v>49</c:v>
                </c:pt>
                <c:pt idx="7">
                  <c:v>50</c:v>
                </c:pt>
                <c:pt idx="8">
                  <c:v>51</c:v>
                </c:pt>
                <c:pt idx="9">
                  <c:v>53</c:v>
                </c:pt>
                <c:pt idx="10">
                  <c:v>54</c:v>
                </c:pt>
                <c:pt idx="11">
                  <c:v>55</c:v>
                </c:pt>
                <c:pt idx="12">
                  <c:v>56</c:v>
                </c:pt>
                <c:pt idx="13">
                  <c:v>57</c:v>
                </c:pt>
                <c:pt idx="14">
                  <c:v>58</c:v>
                </c:pt>
                <c:pt idx="15">
                  <c:v>59</c:v>
                </c:pt>
                <c:pt idx="16">
                  <c:v>60</c:v>
                </c:pt>
              </c:numCache>
            </c:numRef>
          </c:cat>
          <c:val>
            <c:numRef>
              <c:f>' Kec. sesaat 2'!$M$50:$M$66</c:f>
              <c:numCache>
                <c:formatCode>0%</c:formatCode>
                <c:ptCount val="17"/>
                <c:pt idx="0">
                  <c:v>3.3333333333333333E-2</c:v>
                </c:pt>
                <c:pt idx="1">
                  <c:v>6.6666666666666666E-2</c:v>
                </c:pt>
                <c:pt idx="2">
                  <c:v>0.1</c:v>
                </c:pt>
                <c:pt idx="3">
                  <c:v>0.13333333333333333</c:v>
                </c:pt>
                <c:pt idx="4">
                  <c:v>0.16666666666666666</c:v>
                </c:pt>
                <c:pt idx="5">
                  <c:v>0.23333333333333334</c:v>
                </c:pt>
                <c:pt idx="6">
                  <c:v>0.33333333333333331</c:v>
                </c:pt>
                <c:pt idx="7">
                  <c:v>0.4</c:v>
                </c:pt>
                <c:pt idx="8">
                  <c:v>0.46666666666666667</c:v>
                </c:pt>
                <c:pt idx="9">
                  <c:v>0.5</c:v>
                </c:pt>
                <c:pt idx="10">
                  <c:v>0.53333333333333333</c:v>
                </c:pt>
                <c:pt idx="11">
                  <c:v>0.6</c:v>
                </c:pt>
                <c:pt idx="12">
                  <c:v>0.73333333333333328</c:v>
                </c:pt>
                <c:pt idx="13">
                  <c:v>0.8</c:v>
                </c:pt>
                <c:pt idx="14">
                  <c:v>0.8666666666666667</c:v>
                </c:pt>
                <c:pt idx="15">
                  <c:v>0.93333333333333335</c:v>
                </c:pt>
                <c:pt idx="16">
                  <c:v>1</c:v>
                </c:pt>
              </c:numCache>
            </c:numRef>
          </c:val>
          <c:smooth val="0"/>
          <c:extLst>
            <c:ext xmlns:c16="http://schemas.microsoft.com/office/drawing/2014/chart" uri="{C3380CC4-5D6E-409C-BE32-E72D297353CC}">
              <c16:uniqueId val="{00000000-E3CB-4298-93C3-23BE47AB963C}"/>
            </c:ext>
          </c:extLst>
        </c:ser>
        <c:dLbls>
          <c:dLblPos val="t"/>
          <c:showLegendKey val="0"/>
          <c:showVal val="1"/>
          <c:showCatName val="0"/>
          <c:showSerName val="0"/>
          <c:showPercent val="0"/>
          <c:showBubbleSize val="0"/>
        </c:dLbls>
        <c:marker val="1"/>
        <c:smooth val="0"/>
        <c:axId val="467889808"/>
        <c:axId val="467890136"/>
      </c:lineChart>
      <c:catAx>
        <c:axId val="467889808"/>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90136"/>
        <c:crosses val="autoZero"/>
        <c:auto val="1"/>
        <c:lblAlgn val="ctr"/>
        <c:lblOffset val="100"/>
        <c:noMultiLvlLbl val="0"/>
      </c:catAx>
      <c:valAx>
        <c:axId val="467890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8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a:t>
            </a:r>
            <a:r>
              <a:rPr lang="en-US" baseline="0"/>
              <a:t> 85 Persentil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Kec. sesaat 2'!$O$50:$O$64</c:f>
              <c:numCache>
                <c:formatCode>0.00</c:formatCode>
                <c:ptCount val="15"/>
                <c:pt idx="0">
                  <c:v>35</c:v>
                </c:pt>
                <c:pt idx="1">
                  <c:v>41</c:v>
                </c:pt>
                <c:pt idx="2">
                  <c:v>45</c:v>
                </c:pt>
                <c:pt idx="3">
                  <c:v>46</c:v>
                </c:pt>
                <c:pt idx="4">
                  <c:v>47</c:v>
                </c:pt>
                <c:pt idx="5">
                  <c:v>49</c:v>
                </c:pt>
                <c:pt idx="6">
                  <c:v>50</c:v>
                </c:pt>
                <c:pt idx="7">
                  <c:v>52</c:v>
                </c:pt>
                <c:pt idx="8">
                  <c:v>54</c:v>
                </c:pt>
                <c:pt idx="9">
                  <c:v>55</c:v>
                </c:pt>
                <c:pt idx="10">
                  <c:v>56</c:v>
                </c:pt>
                <c:pt idx="11">
                  <c:v>57</c:v>
                </c:pt>
                <c:pt idx="12">
                  <c:v>58</c:v>
                </c:pt>
                <c:pt idx="13">
                  <c:v>61</c:v>
                </c:pt>
                <c:pt idx="14">
                  <c:v>64</c:v>
                </c:pt>
              </c:numCache>
            </c:numRef>
          </c:cat>
          <c:val>
            <c:numRef>
              <c:f>' Kec. sesaat 2'!$R$50:$R$64</c:f>
              <c:numCache>
                <c:formatCode>0%</c:formatCode>
                <c:ptCount val="15"/>
                <c:pt idx="0">
                  <c:v>3.3333333333333333E-2</c:v>
                </c:pt>
                <c:pt idx="1">
                  <c:v>6.6666666666666666E-2</c:v>
                </c:pt>
                <c:pt idx="2">
                  <c:v>0.1</c:v>
                </c:pt>
                <c:pt idx="3">
                  <c:v>0.16666666666666666</c:v>
                </c:pt>
                <c:pt idx="4">
                  <c:v>0.2</c:v>
                </c:pt>
                <c:pt idx="5">
                  <c:v>0.3</c:v>
                </c:pt>
                <c:pt idx="6">
                  <c:v>0.5</c:v>
                </c:pt>
                <c:pt idx="7">
                  <c:v>0.6</c:v>
                </c:pt>
                <c:pt idx="8">
                  <c:v>0.7</c:v>
                </c:pt>
                <c:pt idx="9">
                  <c:v>0.73333333333333328</c:v>
                </c:pt>
                <c:pt idx="10">
                  <c:v>0.8</c:v>
                </c:pt>
                <c:pt idx="11">
                  <c:v>0.9</c:v>
                </c:pt>
                <c:pt idx="12">
                  <c:v>0.93333333333333335</c:v>
                </c:pt>
                <c:pt idx="13">
                  <c:v>0.96666666666666667</c:v>
                </c:pt>
                <c:pt idx="14">
                  <c:v>1</c:v>
                </c:pt>
              </c:numCache>
            </c:numRef>
          </c:val>
          <c:smooth val="0"/>
          <c:extLst>
            <c:ext xmlns:c16="http://schemas.microsoft.com/office/drawing/2014/chart" uri="{C3380CC4-5D6E-409C-BE32-E72D297353CC}">
              <c16:uniqueId val="{00000000-D1FC-46BA-AA90-10D546375168}"/>
            </c:ext>
          </c:extLst>
        </c:ser>
        <c:dLbls>
          <c:dLblPos val="t"/>
          <c:showLegendKey val="0"/>
          <c:showVal val="1"/>
          <c:showCatName val="0"/>
          <c:showSerName val="0"/>
          <c:showPercent val="0"/>
          <c:showBubbleSize val="0"/>
        </c:dLbls>
        <c:marker val="1"/>
        <c:smooth val="0"/>
        <c:axId val="467889808"/>
        <c:axId val="467890136"/>
      </c:lineChart>
      <c:catAx>
        <c:axId val="467889808"/>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90136"/>
        <c:crosses val="autoZero"/>
        <c:auto val="1"/>
        <c:lblAlgn val="ctr"/>
        <c:lblOffset val="100"/>
        <c:noMultiLvlLbl val="0"/>
      </c:catAx>
      <c:valAx>
        <c:axId val="467890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8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a:t>
            </a:r>
            <a:r>
              <a:rPr lang="en-US" baseline="0"/>
              <a:t> 85 Persentil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Kec. sesaat 2'!$T$50:$T$60</c:f>
              <c:numCache>
                <c:formatCode>0.00</c:formatCode>
                <c:ptCount val="11"/>
                <c:pt idx="0">
                  <c:v>35</c:v>
                </c:pt>
                <c:pt idx="1">
                  <c:v>39</c:v>
                </c:pt>
                <c:pt idx="2">
                  <c:v>40</c:v>
                </c:pt>
                <c:pt idx="3">
                  <c:v>41</c:v>
                </c:pt>
                <c:pt idx="4">
                  <c:v>42</c:v>
                </c:pt>
                <c:pt idx="5">
                  <c:v>43</c:v>
                </c:pt>
                <c:pt idx="6">
                  <c:v>44</c:v>
                </c:pt>
                <c:pt idx="7">
                  <c:v>45</c:v>
                </c:pt>
                <c:pt idx="8">
                  <c:v>46</c:v>
                </c:pt>
                <c:pt idx="9">
                  <c:v>47</c:v>
                </c:pt>
                <c:pt idx="10">
                  <c:v>48</c:v>
                </c:pt>
              </c:numCache>
            </c:numRef>
          </c:cat>
          <c:val>
            <c:numRef>
              <c:f>' Kec. sesaat 2'!$W$50:$W$60</c:f>
              <c:numCache>
                <c:formatCode>0%</c:formatCode>
                <c:ptCount val="11"/>
                <c:pt idx="0">
                  <c:v>3.3333333333333333E-2</c:v>
                </c:pt>
                <c:pt idx="1">
                  <c:v>6.6666666666666666E-2</c:v>
                </c:pt>
                <c:pt idx="2">
                  <c:v>0.16666666666666666</c:v>
                </c:pt>
                <c:pt idx="3">
                  <c:v>0.2</c:v>
                </c:pt>
                <c:pt idx="4">
                  <c:v>0.26666666666666666</c:v>
                </c:pt>
                <c:pt idx="5">
                  <c:v>0.36666666666666664</c:v>
                </c:pt>
                <c:pt idx="6">
                  <c:v>0.56666666666666665</c:v>
                </c:pt>
                <c:pt idx="7">
                  <c:v>0.8</c:v>
                </c:pt>
                <c:pt idx="8">
                  <c:v>0.83333333333333337</c:v>
                </c:pt>
                <c:pt idx="9">
                  <c:v>0.93333333333333335</c:v>
                </c:pt>
                <c:pt idx="10">
                  <c:v>1</c:v>
                </c:pt>
              </c:numCache>
            </c:numRef>
          </c:val>
          <c:smooth val="0"/>
          <c:extLst>
            <c:ext xmlns:c16="http://schemas.microsoft.com/office/drawing/2014/chart" uri="{C3380CC4-5D6E-409C-BE32-E72D297353CC}">
              <c16:uniqueId val="{00000000-B8D5-4454-9538-4520771D60D3}"/>
            </c:ext>
          </c:extLst>
        </c:ser>
        <c:dLbls>
          <c:dLblPos val="t"/>
          <c:showLegendKey val="0"/>
          <c:showVal val="1"/>
          <c:showCatName val="0"/>
          <c:showSerName val="0"/>
          <c:showPercent val="0"/>
          <c:showBubbleSize val="0"/>
        </c:dLbls>
        <c:marker val="1"/>
        <c:smooth val="0"/>
        <c:axId val="467889808"/>
        <c:axId val="467890136"/>
      </c:lineChart>
      <c:catAx>
        <c:axId val="467889808"/>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90136"/>
        <c:crosses val="autoZero"/>
        <c:auto val="1"/>
        <c:lblAlgn val="ctr"/>
        <c:lblOffset val="100"/>
        <c:noMultiLvlLbl val="0"/>
      </c:catAx>
      <c:valAx>
        <c:axId val="467890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8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Proporsi</a:t>
            </a:r>
            <a:r>
              <a:rPr lang="en-US" b="1" baseline="0"/>
              <a:t> penyebab </a:t>
            </a:r>
          </a:p>
          <a:p>
            <a:pPr>
              <a:defRPr/>
            </a:pPr>
            <a:r>
              <a:rPr lang="en-US" b="1" baseline="0"/>
              <a:t>kecelakaan</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AE-4DD2-B799-CC316327E9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AE-4DD2-B799-CC316327E9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AE-4DD2-B799-CC316327E9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3AE-4DD2-B799-CC316327E9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3AE-4DD2-B799-CC316327E9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3AE-4DD2-B799-CC316327E91C}"/>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extLst>
                <c:ext xmlns:c15="http://schemas.microsoft.com/office/drawing/2012/chart" uri="{02D57815-91ED-43cb-92C2-25804820EDAC}">
                  <c15:fullRef>
                    <c15:sqref>'Proporsi penyebab kecelakaan'!$B$4:$B$11</c15:sqref>
                  </c15:fullRef>
                </c:ext>
              </c:extLst>
              <c:f>('Proporsi penyebab kecelakaan'!$B$4:$B$6,'Proporsi penyebab kecelakaan'!$B$8:$B$10)</c:f>
              <c:strCache>
                <c:ptCount val="6"/>
                <c:pt idx="0">
                  <c:v>Lelah</c:v>
                </c:pt>
                <c:pt idx="1">
                  <c:v>Kecepatan Tinggi</c:v>
                </c:pt>
                <c:pt idx="2">
                  <c:v>Tidak memperhatikan jarak aman</c:v>
                </c:pt>
                <c:pt idx="3">
                  <c:v>Tidak tertib</c:v>
                </c:pt>
                <c:pt idx="4">
                  <c:v>Tidak Konsentrasi</c:v>
                </c:pt>
                <c:pt idx="5">
                  <c:v>Mengomsumsi minuman beralkohol</c:v>
                </c:pt>
              </c:strCache>
            </c:strRef>
          </c:cat>
          <c:val>
            <c:numRef>
              <c:extLst>
                <c:ext xmlns:c15="http://schemas.microsoft.com/office/drawing/2012/chart" uri="{02D57815-91ED-43cb-92C2-25804820EDAC}">
                  <c15:fullRef>
                    <c15:sqref>'Proporsi penyebab kecelakaan'!$D$4:$D$11</c15:sqref>
                  </c15:fullRef>
                </c:ext>
              </c:extLst>
              <c:f>('Proporsi penyebab kecelakaan'!$D$4:$D$6,'Proporsi penyebab kecelakaan'!$D$8:$D$10)</c:f>
              <c:numCache>
                <c:formatCode>0%</c:formatCode>
                <c:ptCount val="6"/>
                <c:pt idx="0">
                  <c:v>0</c:v>
                </c:pt>
                <c:pt idx="1">
                  <c:v>0.14285714285714285</c:v>
                </c:pt>
                <c:pt idx="2">
                  <c:v>0.42857142857142855</c:v>
                </c:pt>
                <c:pt idx="3">
                  <c:v>0</c:v>
                </c:pt>
                <c:pt idx="4">
                  <c:v>0.14285714285714285</c:v>
                </c:pt>
                <c:pt idx="5">
                  <c:v>0.2857142857142857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1-ECBB-4D79-8D42-F7DBA232C8D1}"/>
            </c:ext>
          </c:extLst>
        </c:ser>
        <c:dLbls>
          <c:showLegendKey val="0"/>
          <c:showVal val="0"/>
          <c:showCatName val="0"/>
          <c:showSerName val="0"/>
          <c:showPercent val="1"/>
          <c:showBubbleSize val="0"/>
          <c:showLeaderLines val="0"/>
        </c:dLbls>
        <c:firstSliceAng val="0"/>
      </c:pieChart>
      <c:spPr>
        <a:noFill/>
        <a:ln>
          <a:noFill/>
        </a:ln>
        <a:effectLst/>
      </c:spPr>
    </c:plotArea>
    <c:legend>
      <c:legendPos val="r"/>
      <c:layout>
        <c:manualLayout>
          <c:xMode val="edge"/>
          <c:yMode val="edge"/>
          <c:x val="0.65392668258809994"/>
          <c:y val="0.29019853445458815"/>
          <c:w val="0.32204929338787608"/>
          <c:h val="0.5418536699764074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Proporsi Tipe </a:t>
            </a:r>
          </a:p>
          <a:p>
            <a:pPr>
              <a:defRPr/>
            </a:pPr>
            <a:r>
              <a:rPr lang="en-US"/>
              <a:t>Tabrakan</a:t>
            </a:r>
          </a:p>
        </c:rich>
      </c:tx>
      <c:layout>
        <c:manualLayout>
          <c:xMode val="edge"/>
          <c:yMode val="edge"/>
          <c:x val="0.6803053435114502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0192-46E5-9D3E-41F9EE163A3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0192-46E5-9D3E-41F9EE163A3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0192-46E5-9D3E-41F9EE163A3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0192-46E5-9D3E-41F9EE163A3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0192-46E5-9D3E-41F9EE163A3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0192-46E5-9D3E-41F9EE163A3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0192-46E5-9D3E-41F9EE163A3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F-0192-46E5-9D3E-41F9EE163A3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2">
                        <a:lumMod val="7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'Proporsi Tipe Tabrakan'!$B$4:$B$11</c:f>
              <c:strCache>
                <c:ptCount val="8"/>
                <c:pt idx="0">
                  <c:v>Depan - Belakang</c:v>
                </c:pt>
                <c:pt idx="1">
                  <c:v>Depan - Depan</c:v>
                </c:pt>
                <c:pt idx="2">
                  <c:v>Depan - Samping</c:v>
                </c:pt>
                <c:pt idx="3">
                  <c:v>Tabrak Manusia</c:v>
                </c:pt>
                <c:pt idx="4">
                  <c:v>Kecelakaan Tunggal</c:v>
                </c:pt>
                <c:pt idx="5">
                  <c:v>Samping - Samping</c:v>
                </c:pt>
                <c:pt idx="6">
                  <c:v>Tabrak Properti</c:v>
                </c:pt>
                <c:pt idx="7">
                  <c:v>Hilang kendali</c:v>
                </c:pt>
              </c:strCache>
            </c:strRef>
          </c:cat>
          <c:val>
            <c:numRef>
              <c:f>'Proporsi Tipe Tabrakan'!$D$4:$D$11</c:f>
              <c:numCache>
                <c:formatCode>0%</c:formatCode>
                <c:ptCount val="8"/>
                <c:pt idx="0">
                  <c:v>0.14285714285714285</c:v>
                </c:pt>
                <c:pt idx="1">
                  <c:v>0.5714285714285714</c:v>
                </c:pt>
                <c:pt idx="2">
                  <c:v>0.2857142857142857</c:v>
                </c:pt>
                <c:pt idx="3">
                  <c:v>0</c:v>
                </c:pt>
                <c:pt idx="4">
                  <c:v>0</c:v>
                </c:pt>
                <c:pt idx="5">
                  <c:v>0</c:v>
                </c:pt>
                <c:pt idx="6">
                  <c:v>0</c:v>
                </c:pt>
                <c:pt idx="7">
                  <c:v>0</c:v>
                </c:pt>
              </c:numCache>
            </c:numRef>
          </c:val>
          <c:extLst>
            <c:ext xmlns:c16="http://schemas.microsoft.com/office/drawing/2014/chart" uri="{C3380CC4-5D6E-409C-BE32-E72D297353CC}">
              <c16:uniqueId val="{00000000-CD84-4242-8A19-03F161A30586}"/>
            </c:ext>
          </c:extLst>
        </c:ser>
        <c:dLbls>
          <c:showLegendKey val="0"/>
          <c:showVal val="0"/>
          <c:showCatName val="0"/>
          <c:showSerName val="0"/>
          <c:showPercent val="1"/>
          <c:showBubbleSize val="0"/>
          <c:showLeaderLines val="0"/>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 85 Persentil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Kecepatan 85 Persentil</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'Kec. sesaat'!$O$8:$O$23</c:f>
              <c:numCache>
                <c:formatCode>0.00</c:formatCode>
                <c:ptCount val="16"/>
                <c:pt idx="0">
                  <c:v>40</c:v>
                </c:pt>
                <c:pt idx="1">
                  <c:v>42</c:v>
                </c:pt>
                <c:pt idx="2">
                  <c:v>43</c:v>
                </c:pt>
                <c:pt idx="3">
                  <c:v>45</c:v>
                </c:pt>
                <c:pt idx="4">
                  <c:v>47</c:v>
                </c:pt>
                <c:pt idx="5">
                  <c:v>48</c:v>
                </c:pt>
                <c:pt idx="6">
                  <c:v>49</c:v>
                </c:pt>
                <c:pt idx="7">
                  <c:v>50</c:v>
                </c:pt>
                <c:pt idx="8">
                  <c:v>51</c:v>
                </c:pt>
                <c:pt idx="9">
                  <c:v>52</c:v>
                </c:pt>
                <c:pt idx="10">
                  <c:v>53</c:v>
                </c:pt>
                <c:pt idx="11">
                  <c:v>54</c:v>
                </c:pt>
                <c:pt idx="12">
                  <c:v>55</c:v>
                </c:pt>
                <c:pt idx="13">
                  <c:v>56</c:v>
                </c:pt>
                <c:pt idx="14">
                  <c:v>57</c:v>
                </c:pt>
                <c:pt idx="15">
                  <c:v>59</c:v>
                </c:pt>
              </c:numCache>
            </c:numRef>
          </c:cat>
          <c:val>
            <c:numRef>
              <c:f>'Kec. sesaat'!$R$8:$R$23</c:f>
              <c:numCache>
                <c:formatCode>0%</c:formatCode>
                <c:ptCount val="16"/>
                <c:pt idx="0">
                  <c:v>3.3333333333333333E-2</c:v>
                </c:pt>
                <c:pt idx="1">
                  <c:v>6.6666666666666666E-2</c:v>
                </c:pt>
                <c:pt idx="2">
                  <c:v>0.1</c:v>
                </c:pt>
                <c:pt idx="3">
                  <c:v>0.16666666666666666</c:v>
                </c:pt>
                <c:pt idx="4">
                  <c:v>0.2</c:v>
                </c:pt>
                <c:pt idx="5">
                  <c:v>0.23333333333333334</c:v>
                </c:pt>
                <c:pt idx="6">
                  <c:v>0.36666666666666664</c:v>
                </c:pt>
                <c:pt idx="7">
                  <c:v>0.46666666666666667</c:v>
                </c:pt>
                <c:pt idx="8">
                  <c:v>0.56666666666666665</c:v>
                </c:pt>
                <c:pt idx="9">
                  <c:v>0.7</c:v>
                </c:pt>
                <c:pt idx="10">
                  <c:v>0.76666666666666672</c:v>
                </c:pt>
                <c:pt idx="11">
                  <c:v>0.83333333333333337</c:v>
                </c:pt>
                <c:pt idx="12">
                  <c:v>0.8666666666666667</c:v>
                </c:pt>
                <c:pt idx="13">
                  <c:v>0.93333333333333335</c:v>
                </c:pt>
                <c:pt idx="14">
                  <c:v>0.96666666666666667</c:v>
                </c:pt>
                <c:pt idx="15">
                  <c:v>1</c:v>
                </c:pt>
              </c:numCache>
            </c:numRef>
          </c:val>
          <c:smooth val="0"/>
          <c:extLst>
            <c:ext xmlns:c16="http://schemas.microsoft.com/office/drawing/2014/chart" uri="{C3380CC4-5D6E-409C-BE32-E72D297353CC}">
              <c16:uniqueId val="{00000000-0EDC-4DF1-AF57-280DD776C4BF}"/>
            </c:ext>
          </c:extLst>
        </c:ser>
        <c:dLbls>
          <c:dLblPos val="t"/>
          <c:showLegendKey val="0"/>
          <c:showVal val="1"/>
          <c:showCatName val="0"/>
          <c:showSerName val="0"/>
          <c:showPercent val="0"/>
          <c:showBubbleSize val="0"/>
        </c:dLbls>
        <c:marker val="1"/>
        <c:smooth val="0"/>
        <c:axId val="534143520"/>
        <c:axId val="534145816"/>
      </c:lineChart>
      <c:catAx>
        <c:axId val="534143520"/>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145816"/>
        <c:crosses val="autoZero"/>
        <c:auto val="1"/>
        <c:lblAlgn val="ctr"/>
        <c:lblOffset val="100"/>
        <c:noMultiLvlLbl val="0"/>
      </c:catAx>
      <c:valAx>
        <c:axId val="534145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14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 85 Persentil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Kecepatan 85 Persentil</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'Kec. sesaat'!$T$8:$T$23</c:f>
              <c:numCache>
                <c:formatCode>0.00</c:formatCode>
                <c:ptCount val="16"/>
                <c:pt idx="0">
                  <c:v>35</c:v>
                </c:pt>
                <c:pt idx="1">
                  <c:v>38</c:v>
                </c:pt>
                <c:pt idx="2">
                  <c:v>39</c:v>
                </c:pt>
                <c:pt idx="3">
                  <c:v>40</c:v>
                </c:pt>
                <c:pt idx="4">
                  <c:v>41</c:v>
                </c:pt>
                <c:pt idx="5">
                  <c:v>42</c:v>
                </c:pt>
                <c:pt idx="6">
                  <c:v>43</c:v>
                </c:pt>
                <c:pt idx="7">
                  <c:v>44</c:v>
                </c:pt>
                <c:pt idx="8">
                  <c:v>45</c:v>
                </c:pt>
                <c:pt idx="9">
                  <c:v>46</c:v>
                </c:pt>
                <c:pt idx="10">
                  <c:v>47</c:v>
                </c:pt>
                <c:pt idx="11">
                  <c:v>48</c:v>
                </c:pt>
                <c:pt idx="12">
                  <c:v>49</c:v>
                </c:pt>
                <c:pt idx="13">
                  <c:v>51</c:v>
                </c:pt>
                <c:pt idx="14">
                  <c:v>53</c:v>
                </c:pt>
                <c:pt idx="15">
                  <c:v>54</c:v>
                </c:pt>
              </c:numCache>
            </c:numRef>
          </c:cat>
          <c:val>
            <c:numRef>
              <c:f>'Kec. sesaat'!$W$8:$W$23</c:f>
              <c:numCache>
                <c:formatCode>0%</c:formatCode>
                <c:ptCount val="16"/>
                <c:pt idx="0">
                  <c:v>3.3333333333333333E-2</c:v>
                </c:pt>
                <c:pt idx="1">
                  <c:v>0.13333333333333333</c:v>
                </c:pt>
                <c:pt idx="2">
                  <c:v>0.23333333333333334</c:v>
                </c:pt>
                <c:pt idx="3">
                  <c:v>0.3</c:v>
                </c:pt>
                <c:pt idx="4">
                  <c:v>0.33333333333333331</c:v>
                </c:pt>
                <c:pt idx="5">
                  <c:v>0.43333333333333335</c:v>
                </c:pt>
                <c:pt idx="6">
                  <c:v>0.5</c:v>
                </c:pt>
                <c:pt idx="7">
                  <c:v>0.56666666666666665</c:v>
                </c:pt>
                <c:pt idx="8">
                  <c:v>0.6333333333333333</c:v>
                </c:pt>
                <c:pt idx="9">
                  <c:v>0.66666666666666663</c:v>
                </c:pt>
                <c:pt idx="10">
                  <c:v>0.76666666666666672</c:v>
                </c:pt>
                <c:pt idx="11">
                  <c:v>0.8</c:v>
                </c:pt>
                <c:pt idx="12">
                  <c:v>0.8666666666666667</c:v>
                </c:pt>
                <c:pt idx="13">
                  <c:v>0.93333333333333335</c:v>
                </c:pt>
                <c:pt idx="14">
                  <c:v>0.96666666666666667</c:v>
                </c:pt>
                <c:pt idx="15">
                  <c:v>1</c:v>
                </c:pt>
              </c:numCache>
            </c:numRef>
          </c:val>
          <c:smooth val="0"/>
          <c:extLst>
            <c:ext xmlns:c16="http://schemas.microsoft.com/office/drawing/2014/chart" uri="{C3380CC4-5D6E-409C-BE32-E72D297353CC}">
              <c16:uniqueId val="{00000000-F410-40D7-BB17-16338E45F952}"/>
            </c:ext>
          </c:extLst>
        </c:ser>
        <c:dLbls>
          <c:dLblPos val="t"/>
          <c:showLegendKey val="0"/>
          <c:showVal val="1"/>
          <c:showCatName val="0"/>
          <c:showSerName val="0"/>
          <c:showPercent val="0"/>
          <c:showBubbleSize val="0"/>
        </c:dLbls>
        <c:marker val="1"/>
        <c:smooth val="0"/>
        <c:axId val="534143520"/>
        <c:axId val="534145816"/>
      </c:lineChart>
      <c:catAx>
        <c:axId val="534143520"/>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145816"/>
        <c:crosses val="autoZero"/>
        <c:auto val="1"/>
        <c:lblAlgn val="ctr"/>
        <c:lblOffset val="100"/>
        <c:noMultiLvlLbl val="0"/>
      </c:catAx>
      <c:valAx>
        <c:axId val="534145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14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Kecepatan 85 Persentil</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'Kec. sesaat'!$J$55:$J$75</c:f>
              <c:numCache>
                <c:formatCode>0.00</c:formatCode>
                <c:ptCount val="21"/>
                <c:pt idx="0">
                  <c:v>40</c:v>
                </c:pt>
                <c:pt idx="1">
                  <c:v>43</c:v>
                </c:pt>
                <c:pt idx="2">
                  <c:v>44</c:v>
                </c:pt>
                <c:pt idx="3">
                  <c:v>47</c:v>
                </c:pt>
                <c:pt idx="4">
                  <c:v>48</c:v>
                </c:pt>
                <c:pt idx="5">
                  <c:v>49</c:v>
                </c:pt>
                <c:pt idx="6">
                  <c:v>50</c:v>
                </c:pt>
                <c:pt idx="7">
                  <c:v>51</c:v>
                </c:pt>
                <c:pt idx="8">
                  <c:v>52</c:v>
                </c:pt>
                <c:pt idx="9">
                  <c:v>53</c:v>
                </c:pt>
                <c:pt idx="10">
                  <c:v>54</c:v>
                </c:pt>
                <c:pt idx="11">
                  <c:v>55</c:v>
                </c:pt>
                <c:pt idx="12">
                  <c:v>56</c:v>
                </c:pt>
                <c:pt idx="13">
                  <c:v>57</c:v>
                </c:pt>
                <c:pt idx="14">
                  <c:v>58</c:v>
                </c:pt>
                <c:pt idx="15">
                  <c:v>59</c:v>
                </c:pt>
                <c:pt idx="16">
                  <c:v>60</c:v>
                </c:pt>
                <c:pt idx="17">
                  <c:v>61</c:v>
                </c:pt>
                <c:pt idx="18">
                  <c:v>62</c:v>
                </c:pt>
                <c:pt idx="19">
                  <c:v>63</c:v>
                </c:pt>
                <c:pt idx="20">
                  <c:v>66</c:v>
                </c:pt>
              </c:numCache>
            </c:numRef>
          </c:cat>
          <c:val>
            <c:numRef>
              <c:f>'Kec. sesaat'!$M$55:$M$75</c:f>
              <c:numCache>
                <c:formatCode>0%</c:formatCode>
                <c:ptCount val="21"/>
                <c:pt idx="0">
                  <c:v>3.3333333333333333E-2</c:v>
                </c:pt>
                <c:pt idx="1">
                  <c:v>6.6666666666666666E-2</c:v>
                </c:pt>
                <c:pt idx="2">
                  <c:v>0.1</c:v>
                </c:pt>
                <c:pt idx="3">
                  <c:v>0.16666666666666666</c:v>
                </c:pt>
                <c:pt idx="4">
                  <c:v>0.2</c:v>
                </c:pt>
                <c:pt idx="5">
                  <c:v>0.3</c:v>
                </c:pt>
                <c:pt idx="6">
                  <c:v>0.46666666666666667</c:v>
                </c:pt>
                <c:pt idx="7">
                  <c:v>0.5</c:v>
                </c:pt>
                <c:pt idx="8">
                  <c:v>0.53333333333333333</c:v>
                </c:pt>
                <c:pt idx="9">
                  <c:v>0.56666666666666665</c:v>
                </c:pt>
                <c:pt idx="10">
                  <c:v>0.6333333333333333</c:v>
                </c:pt>
                <c:pt idx="11">
                  <c:v>0.66666666666666663</c:v>
                </c:pt>
                <c:pt idx="12">
                  <c:v>0.7</c:v>
                </c:pt>
                <c:pt idx="13">
                  <c:v>0.73333333333333328</c:v>
                </c:pt>
                <c:pt idx="14">
                  <c:v>0.76666666666666672</c:v>
                </c:pt>
                <c:pt idx="15">
                  <c:v>0.8</c:v>
                </c:pt>
                <c:pt idx="16">
                  <c:v>0.8666666666666667</c:v>
                </c:pt>
                <c:pt idx="17">
                  <c:v>0.9</c:v>
                </c:pt>
                <c:pt idx="18">
                  <c:v>0.93333333333333335</c:v>
                </c:pt>
                <c:pt idx="19">
                  <c:v>0.96666666666666667</c:v>
                </c:pt>
                <c:pt idx="20">
                  <c:v>1</c:v>
                </c:pt>
              </c:numCache>
            </c:numRef>
          </c:val>
          <c:smooth val="0"/>
          <c:extLst>
            <c:ext xmlns:c16="http://schemas.microsoft.com/office/drawing/2014/chart" uri="{C3380CC4-5D6E-409C-BE32-E72D297353CC}">
              <c16:uniqueId val="{00000000-8028-4556-B4B6-6B05D5967955}"/>
            </c:ext>
          </c:extLst>
        </c:ser>
        <c:dLbls>
          <c:dLblPos val="t"/>
          <c:showLegendKey val="0"/>
          <c:showVal val="1"/>
          <c:showCatName val="0"/>
          <c:showSerName val="0"/>
          <c:showPercent val="0"/>
          <c:showBubbleSize val="0"/>
        </c:dLbls>
        <c:marker val="1"/>
        <c:smooth val="0"/>
        <c:axId val="487981896"/>
        <c:axId val="487975664"/>
      </c:lineChart>
      <c:catAx>
        <c:axId val="487981896"/>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75664"/>
        <c:crosses val="autoZero"/>
        <c:auto val="1"/>
        <c:lblAlgn val="ctr"/>
        <c:lblOffset val="100"/>
        <c:noMultiLvlLbl val="0"/>
      </c:catAx>
      <c:valAx>
        <c:axId val="48797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81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6334525838125E-2"/>
          <c:y val="0.15862607971580148"/>
          <c:w val="0.88348177599446531"/>
          <c:h val="0.6167300871057817"/>
        </c:manualLayout>
      </c:layout>
      <c:lineChart>
        <c:grouping val="standard"/>
        <c:varyColors val="0"/>
        <c:ser>
          <c:idx val="0"/>
          <c:order val="0"/>
          <c:tx>
            <c:v>Kecepatan 85 Persentil</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'Kec. sesaat'!$O$55:$O$71</c:f>
              <c:numCache>
                <c:formatCode>0.00</c:formatCode>
                <c:ptCount val="17"/>
                <c:pt idx="0">
                  <c:v>40</c:v>
                </c:pt>
                <c:pt idx="1">
                  <c:v>41</c:v>
                </c:pt>
                <c:pt idx="2">
                  <c:v>45</c:v>
                </c:pt>
                <c:pt idx="3">
                  <c:v>46</c:v>
                </c:pt>
                <c:pt idx="4">
                  <c:v>47</c:v>
                </c:pt>
                <c:pt idx="5">
                  <c:v>49</c:v>
                </c:pt>
                <c:pt idx="6">
                  <c:v>50</c:v>
                </c:pt>
                <c:pt idx="7">
                  <c:v>52</c:v>
                </c:pt>
                <c:pt idx="8">
                  <c:v>54</c:v>
                </c:pt>
                <c:pt idx="9">
                  <c:v>56</c:v>
                </c:pt>
                <c:pt idx="10">
                  <c:v>57</c:v>
                </c:pt>
                <c:pt idx="11">
                  <c:v>58</c:v>
                </c:pt>
                <c:pt idx="12">
                  <c:v>60</c:v>
                </c:pt>
                <c:pt idx="13">
                  <c:v>62</c:v>
                </c:pt>
                <c:pt idx="14">
                  <c:v>63</c:v>
                </c:pt>
                <c:pt idx="15">
                  <c:v>65</c:v>
                </c:pt>
                <c:pt idx="16">
                  <c:v>69</c:v>
                </c:pt>
              </c:numCache>
            </c:numRef>
          </c:cat>
          <c:val>
            <c:numRef>
              <c:f>'Kec. sesaat'!$R$55:$R$71</c:f>
              <c:numCache>
                <c:formatCode>0%</c:formatCode>
                <c:ptCount val="17"/>
                <c:pt idx="0">
                  <c:v>3.3333333333333333E-2</c:v>
                </c:pt>
                <c:pt idx="1">
                  <c:v>6.6666666666666666E-2</c:v>
                </c:pt>
                <c:pt idx="2">
                  <c:v>0.1</c:v>
                </c:pt>
                <c:pt idx="3">
                  <c:v>0.16666666666666666</c:v>
                </c:pt>
                <c:pt idx="4">
                  <c:v>0.2</c:v>
                </c:pt>
                <c:pt idx="5">
                  <c:v>0.3</c:v>
                </c:pt>
                <c:pt idx="6">
                  <c:v>0.5</c:v>
                </c:pt>
                <c:pt idx="7">
                  <c:v>0.56666666666666665</c:v>
                </c:pt>
                <c:pt idx="8">
                  <c:v>0.6</c:v>
                </c:pt>
                <c:pt idx="9">
                  <c:v>0.6333333333333333</c:v>
                </c:pt>
                <c:pt idx="10">
                  <c:v>0.7</c:v>
                </c:pt>
                <c:pt idx="11">
                  <c:v>0.8</c:v>
                </c:pt>
                <c:pt idx="12">
                  <c:v>0.8666666666666667</c:v>
                </c:pt>
                <c:pt idx="13">
                  <c:v>0.9</c:v>
                </c:pt>
                <c:pt idx="14">
                  <c:v>0.93333333333333335</c:v>
                </c:pt>
                <c:pt idx="15">
                  <c:v>0.96666666666666667</c:v>
                </c:pt>
                <c:pt idx="16">
                  <c:v>1</c:v>
                </c:pt>
              </c:numCache>
            </c:numRef>
          </c:val>
          <c:smooth val="0"/>
          <c:extLst>
            <c:ext xmlns:c16="http://schemas.microsoft.com/office/drawing/2014/chart" uri="{C3380CC4-5D6E-409C-BE32-E72D297353CC}">
              <c16:uniqueId val="{00000000-2128-4D44-848E-C41F2C776D27}"/>
            </c:ext>
          </c:extLst>
        </c:ser>
        <c:dLbls>
          <c:dLblPos val="t"/>
          <c:showLegendKey val="0"/>
          <c:showVal val="1"/>
          <c:showCatName val="0"/>
          <c:showSerName val="0"/>
          <c:showPercent val="0"/>
          <c:showBubbleSize val="0"/>
        </c:dLbls>
        <c:marker val="1"/>
        <c:smooth val="0"/>
        <c:axId val="487981896"/>
        <c:axId val="487975664"/>
      </c:lineChart>
      <c:catAx>
        <c:axId val="487981896"/>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75664"/>
        <c:crosses val="autoZero"/>
        <c:auto val="1"/>
        <c:lblAlgn val="ctr"/>
        <c:lblOffset val="100"/>
        <c:noMultiLvlLbl val="0"/>
      </c:catAx>
      <c:valAx>
        <c:axId val="48797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81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Kecepatan 85 Persentil</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'Kec. sesaat'!$T$55:$T$66</c:f>
              <c:numCache>
                <c:formatCode>0.00</c:formatCode>
                <c:ptCount val="12"/>
                <c:pt idx="0">
                  <c:v>39</c:v>
                </c:pt>
                <c:pt idx="1">
                  <c:v>40</c:v>
                </c:pt>
                <c:pt idx="2">
                  <c:v>42</c:v>
                </c:pt>
                <c:pt idx="3">
                  <c:v>43</c:v>
                </c:pt>
                <c:pt idx="4">
                  <c:v>44</c:v>
                </c:pt>
                <c:pt idx="5">
                  <c:v>45</c:v>
                </c:pt>
                <c:pt idx="6">
                  <c:v>46</c:v>
                </c:pt>
                <c:pt idx="7">
                  <c:v>47</c:v>
                </c:pt>
                <c:pt idx="8">
                  <c:v>48</c:v>
                </c:pt>
                <c:pt idx="9">
                  <c:v>50</c:v>
                </c:pt>
                <c:pt idx="10">
                  <c:v>51</c:v>
                </c:pt>
                <c:pt idx="11">
                  <c:v>52</c:v>
                </c:pt>
              </c:numCache>
            </c:numRef>
          </c:cat>
          <c:val>
            <c:numRef>
              <c:f>'Kec. sesaat'!$W$55:$W$66</c:f>
              <c:numCache>
                <c:formatCode>0%</c:formatCode>
                <c:ptCount val="12"/>
                <c:pt idx="0">
                  <c:v>3.3333333333333333E-2</c:v>
                </c:pt>
                <c:pt idx="1">
                  <c:v>0.13333333333333333</c:v>
                </c:pt>
                <c:pt idx="2">
                  <c:v>0.2</c:v>
                </c:pt>
                <c:pt idx="3">
                  <c:v>0.26666666666666666</c:v>
                </c:pt>
                <c:pt idx="4">
                  <c:v>0.36666666666666664</c:v>
                </c:pt>
                <c:pt idx="5">
                  <c:v>0.5</c:v>
                </c:pt>
                <c:pt idx="6">
                  <c:v>0.53333333333333333</c:v>
                </c:pt>
                <c:pt idx="7">
                  <c:v>0.66666666666666663</c:v>
                </c:pt>
                <c:pt idx="8">
                  <c:v>0.73333333333333328</c:v>
                </c:pt>
                <c:pt idx="9">
                  <c:v>0.9</c:v>
                </c:pt>
                <c:pt idx="10">
                  <c:v>0.96666666666666667</c:v>
                </c:pt>
                <c:pt idx="11">
                  <c:v>1</c:v>
                </c:pt>
              </c:numCache>
            </c:numRef>
          </c:val>
          <c:smooth val="0"/>
          <c:extLst>
            <c:ext xmlns:c16="http://schemas.microsoft.com/office/drawing/2014/chart" uri="{C3380CC4-5D6E-409C-BE32-E72D297353CC}">
              <c16:uniqueId val="{00000000-0C3E-4EC3-A1D3-FD3C81BD9BBD}"/>
            </c:ext>
          </c:extLst>
        </c:ser>
        <c:dLbls>
          <c:dLblPos val="t"/>
          <c:showLegendKey val="0"/>
          <c:showVal val="1"/>
          <c:showCatName val="0"/>
          <c:showSerName val="0"/>
          <c:showPercent val="0"/>
          <c:showBubbleSize val="0"/>
        </c:dLbls>
        <c:marker val="1"/>
        <c:smooth val="0"/>
        <c:axId val="487981896"/>
        <c:axId val="487975664"/>
      </c:lineChart>
      <c:catAx>
        <c:axId val="487981896"/>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75664"/>
        <c:crosses val="autoZero"/>
        <c:auto val="1"/>
        <c:lblAlgn val="ctr"/>
        <c:lblOffset val="100"/>
        <c:noMultiLvlLbl val="0"/>
      </c:catAx>
      <c:valAx>
        <c:axId val="48797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981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a:t>
            </a:r>
            <a:r>
              <a:rPr lang="en-US" baseline="0"/>
              <a:t> 85 Persentil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Kec. sesaat 2'!$J$7:$J$22</c:f>
              <c:numCache>
                <c:formatCode>0.00</c:formatCode>
                <c:ptCount val="16"/>
                <c:pt idx="0">
                  <c:v>40</c:v>
                </c:pt>
                <c:pt idx="1">
                  <c:v>43</c:v>
                </c:pt>
                <c:pt idx="2">
                  <c:v>44</c:v>
                </c:pt>
                <c:pt idx="3">
                  <c:v>45</c:v>
                </c:pt>
                <c:pt idx="4">
                  <c:v>47</c:v>
                </c:pt>
                <c:pt idx="5">
                  <c:v>48</c:v>
                </c:pt>
                <c:pt idx="6">
                  <c:v>49</c:v>
                </c:pt>
                <c:pt idx="7">
                  <c:v>50</c:v>
                </c:pt>
                <c:pt idx="8">
                  <c:v>51</c:v>
                </c:pt>
                <c:pt idx="9">
                  <c:v>52</c:v>
                </c:pt>
                <c:pt idx="10">
                  <c:v>54</c:v>
                </c:pt>
                <c:pt idx="11">
                  <c:v>55</c:v>
                </c:pt>
                <c:pt idx="12">
                  <c:v>56</c:v>
                </c:pt>
                <c:pt idx="13">
                  <c:v>57</c:v>
                </c:pt>
                <c:pt idx="14">
                  <c:v>58</c:v>
                </c:pt>
                <c:pt idx="15">
                  <c:v>59</c:v>
                </c:pt>
              </c:numCache>
            </c:numRef>
          </c:cat>
          <c:val>
            <c:numRef>
              <c:f>' Kec. sesaat 2'!$M$7:$M$22</c:f>
              <c:numCache>
                <c:formatCode>0%</c:formatCode>
                <c:ptCount val="16"/>
                <c:pt idx="0">
                  <c:v>3.3333333333333333E-2</c:v>
                </c:pt>
                <c:pt idx="1">
                  <c:v>6.6666666666666666E-2</c:v>
                </c:pt>
                <c:pt idx="2">
                  <c:v>0.13333333333333333</c:v>
                </c:pt>
                <c:pt idx="3">
                  <c:v>0.16666666666666666</c:v>
                </c:pt>
                <c:pt idx="4">
                  <c:v>0.2</c:v>
                </c:pt>
                <c:pt idx="5">
                  <c:v>0.26666666666666666</c:v>
                </c:pt>
                <c:pt idx="6">
                  <c:v>0.46666666666666667</c:v>
                </c:pt>
                <c:pt idx="7">
                  <c:v>0.6</c:v>
                </c:pt>
                <c:pt idx="8">
                  <c:v>0.66666666666666663</c:v>
                </c:pt>
                <c:pt idx="9">
                  <c:v>0.7</c:v>
                </c:pt>
                <c:pt idx="10">
                  <c:v>0.73333333333333328</c:v>
                </c:pt>
                <c:pt idx="11">
                  <c:v>0.8</c:v>
                </c:pt>
                <c:pt idx="12">
                  <c:v>0.83333333333333337</c:v>
                </c:pt>
                <c:pt idx="13">
                  <c:v>0.8666666666666667</c:v>
                </c:pt>
                <c:pt idx="14">
                  <c:v>0.93333333333333335</c:v>
                </c:pt>
                <c:pt idx="15">
                  <c:v>1</c:v>
                </c:pt>
              </c:numCache>
            </c:numRef>
          </c:val>
          <c:smooth val="0"/>
          <c:extLst>
            <c:ext xmlns:c16="http://schemas.microsoft.com/office/drawing/2014/chart" uri="{C3380CC4-5D6E-409C-BE32-E72D297353CC}">
              <c16:uniqueId val="{00000000-2E05-4F48-985A-40CD92D541BC}"/>
            </c:ext>
          </c:extLst>
        </c:ser>
        <c:dLbls>
          <c:dLblPos val="t"/>
          <c:showLegendKey val="0"/>
          <c:showVal val="1"/>
          <c:showCatName val="0"/>
          <c:showSerName val="0"/>
          <c:showPercent val="0"/>
          <c:showBubbleSize val="0"/>
        </c:dLbls>
        <c:marker val="1"/>
        <c:smooth val="0"/>
        <c:axId val="467889808"/>
        <c:axId val="467890136"/>
      </c:lineChart>
      <c:catAx>
        <c:axId val="467889808"/>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90136"/>
        <c:crosses val="autoZero"/>
        <c:auto val="1"/>
        <c:lblAlgn val="ctr"/>
        <c:lblOffset val="100"/>
        <c:noMultiLvlLbl val="0"/>
      </c:catAx>
      <c:valAx>
        <c:axId val="467890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8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a:t>
            </a:r>
            <a:r>
              <a:rPr lang="en-US" baseline="0"/>
              <a:t> 85 Persentil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01725643016642"/>
          <c:y val="0.15947756358081119"/>
          <c:w val="0.85923204545125709"/>
          <c:h val="0.64430120587535533"/>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Kec. sesaat 2'!$O$7:$O$20</c:f>
              <c:numCache>
                <c:formatCode>0.00</c:formatCode>
                <c:ptCount val="14"/>
                <c:pt idx="0">
                  <c:v>39</c:v>
                </c:pt>
                <c:pt idx="1">
                  <c:v>40</c:v>
                </c:pt>
                <c:pt idx="2">
                  <c:v>41</c:v>
                </c:pt>
                <c:pt idx="3">
                  <c:v>42</c:v>
                </c:pt>
                <c:pt idx="4">
                  <c:v>44</c:v>
                </c:pt>
                <c:pt idx="5">
                  <c:v>45</c:v>
                </c:pt>
                <c:pt idx="6">
                  <c:v>46</c:v>
                </c:pt>
                <c:pt idx="7">
                  <c:v>47</c:v>
                </c:pt>
                <c:pt idx="8">
                  <c:v>48</c:v>
                </c:pt>
                <c:pt idx="9">
                  <c:v>49</c:v>
                </c:pt>
                <c:pt idx="10">
                  <c:v>50</c:v>
                </c:pt>
                <c:pt idx="11">
                  <c:v>51</c:v>
                </c:pt>
                <c:pt idx="12">
                  <c:v>52</c:v>
                </c:pt>
                <c:pt idx="13">
                  <c:v>54</c:v>
                </c:pt>
              </c:numCache>
            </c:numRef>
          </c:cat>
          <c:val>
            <c:numRef>
              <c:f>' Kec. sesaat 2'!$R$7:$R$20</c:f>
              <c:numCache>
                <c:formatCode>0%</c:formatCode>
                <c:ptCount val="14"/>
                <c:pt idx="0">
                  <c:v>6.6666666666666666E-2</c:v>
                </c:pt>
                <c:pt idx="1">
                  <c:v>0.1</c:v>
                </c:pt>
                <c:pt idx="2">
                  <c:v>0.16666666666666666</c:v>
                </c:pt>
                <c:pt idx="3">
                  <c:v>0.2</c:v>
                </c:pt>
                <c:pt idx="4">
                  <c:v>0.26666666666666666</c:v>
                </c:pt>
                <c:pt idx="5">
                  <c:v>0.3</c:v>
                </c:pt>
                <c:pt idx="6">
                  <c:v>0.4</c:v>
                </c:pt>
                <c:pt idx="7">
                  <c:v>0.5</c:v>
                </c:pt>
                <c:pt idx="8">
                  <c:v>0.66666666666666663</c:v>
                </c:pt>
                <c:pt idx="9">
                  <c:v>0.76666666666666672</c:v>
                </c:pt>
                <c:pt idx="10">
                  <c:v>0.9</c:v>
                </c:pt>
                <c:pt idx="11">
                  <c:v>0.93333333333333335</c:v>
                </c:pt>
                <c:pt idx="12">
                  <c:v>0.96666666666666667</c:v>
                </c:pt>
                <c:pt idx="13">
                  <c:v>1</c:v>
                </c:pt>
              </c:numCache>
            </c:numRef>
          </c:val>
          <c:smooth val="0"/>
          <c:extLst>
            <c:ext xmlns:c16="http://schemas.microsoft.com/office/drawing/2014/chart" uri="{C3380CC4-5D6E-409C-BE32-E72D297353CC}">
              <c16:uniqueId val="{00000000-5BFA-42EB-A75D-11AD556EE76F}"/>
            </c:ext>
          </c:extLst>
        </c:ser>
        <c:dLbls>
          <c:dLblPos val="t"/>
          <c:showLegendKey val="0"/>
          <c:showVal val="1"/>
          <c:showCatName val="0"/>
          <c:showSerName val="0"/>
          <c:showPercent val="0"/>
          <c:showBubbleSize val="0"/>
        </c:dLbls>
        <c:marker val="1"/>
        <c:smooth val="0"/>
        <c:axId val="467889808"/>
        <c:axId val="467890136"/>
      </c:lineChart>
      <c:catAx>
        <c:axId val="467889808"/>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90136"/>
        <c:crosses val="autoZero"/>
        <c:auto val="1"/>
        <c:lblAlgn val="ctr"/>
        <c:lblOffset val="100"/>
        <c:noMultiLvlLbl val="0"/>
      </c:catAx>
      <c:valAx>
        <c:axId val="467890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8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Kecepatan</a:t>
            </a:r>
            <a:r>
              <a:rPr lang="en-US" baseline="0"/>
              <a:t> 85 Persentil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Kec. sesaat 2'!$T$7:$T$20</c:f>
              <c:numCache>
                <c:formatCode>0.00</c:formatCode>
                <c:ptCount val="14"/>
                <c:pt idx="0">
                  <c:v>35</c:v>
                </c:pt>
                <c:pt idx="1">
                  <c:v>36</c:v>
                </c:pt>
                <c:pt idx="2">
                  <c:v>38</c:v>
                </c:pt>
                <c:pt idx="3">
                  <c:v>39</c:v>
                </c:pt>
                <c:pt idx="4">
                  <c:v>40</c:v>
                </c:pt>
                <c:pt idx="5">
                  <c:v>41</c:v>
                </c:pt>
                <c:pt idx="6">
                  <c:v>42</c:v>
                </c:pt>
                <c:pt idx="7">
                  <c:v>45</c:v>
                </c:pt>
                <c:pt idx="8">
                  <c:v>46</c:v>
                </c:pt>
                <c:pt idx="9">
                  <c:v>47</c:v>
                </c:pt>
                <c:pt idx="10">
                  <c:v>48</c:v>
                </c:pt>
                <c:pt idx="11">
                  <c:v>49</c:v>
                </c:pt>
                <c:pt idx="12">
                  <c:v>50</c:v>
                </c:pt>
                <c:pt idx="13">
                  <c:v>55</c:v>
                </c:pt>
              </c:numCache>
            </c:numRef>
          </c:cat>
          <c:val>
            <c:numRef>
              <c:f>' Kec. sesaat 2'!$W$7:$W$20</c:f>
              <c:numCache>
                <c:formatCode>0%</c:formatCode>
                <c:ptCount val="14"/>
                <c:pt idx="0">
                  <c:v>3.3333333333333333E-2</c:v>
                </c:pt>
                <c:pt idx="1">
                  <c:v>6.6666666666666666E-2</c:v>
                </c:pt>
                <c:pt idx="2">
                  <c:v>0.1</c:v>
                </c:pt>
                <c:pt idx="3">
                  <c:v>0.13333333333333333</c:v>
                </c:pt>
                <c:pt idx="4">
                  <c:v>0.2</c:v>
                </c:pt>
                <c:pt idx="5">
                  <c:v>0.23333333333333334</c:v>
                </c:pt>
                <c:pt idx="6">
                  <c:v>0.26666666666666666</c:v>
                </c:pt>
                <c:pt idx="7">
                  <c:v>0.46666666666666667</c:v>
                </c:pt>
                <c:pt idx="8">
                  <c:v>0.56666666666666665</c:v>
                </c:pt>
                <c:pt idx="9">
                  <c:v>0.7</c:v>
                </c:pt>
                <c:pt idx="10">
                  <c:v>0.8</c:v>
                </c:pt>
                <c:pt idx="11">
                  <c:v>0.93333333333333335</c:v>
                </c:pt>
                <c:pt idx="12">
                  <c:v>0.96666666666666667</c:v>
                </c:pt>
                <c:pt idx="13">
                  <c:v>1</c:v>
                </c:pt>
              </c:numCache>
            </c:numRef>
          </c:val>
          <c:smooth val="0"/>
          <c:extLst>
            <c:ext xmlns:c16="http://schemas.microsoft.com/office/drawing/2014/chart" uri="{C3380CC4-5D6E-409C-BE32-E72D297353CC}">
              <c16:uniqueId val="{00000000-446A-4F5A-9F14-A4211AA46975}"/>
            </c:ext>
          </c:extLst>
        </c:ser>
        <c:dLbls>
          <c:dLblPos val="t"/>
          <c:showLegendKey val="0"/>
          <c:showVal val="1"/>
          <c:showCatName val="0"/>
          <c:showSerName val="0"/>
          <c:showPercent val="0"/>
          <c:showBubbleSize val="0"/>
        </c:dLbls>
        <c:marker val="1"/>
        <c:smooth val="0"/>
        <c:axId val="470121680"/>
        <c:axId val="470120696"/>
      </c:lineChart>
      <c:catAx>
        <c:axId val="470121680"/>
        <c:scaling>
          <c:orientation val="minMax"/>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120696"/>
        <c:crosses val="autoZero"/>
        <c:auto val="1"/>
        <c:lblAlgn val="ctr"/>
        <c:lblOffset val="100"/>
        <c:noMultiLvlLbl val="0"/>
      </c:catAx>
      <c:valAx>
        <c:axId val="470120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12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32</xdr:col>
      <xdr:colOff>581024</xdr:colOff>
      <xdr:row>1</xdr:row>
      <xdr:rowOff>142875</xdr:rowOff>
    </xdr:from>
    <xdr:to>
      <xdr:col>41</xdr:col>
      <xdr:colOff>457200</xdr:colOff>
      <xdr:row>20</xdr:row>
      <xdr:rowOff>180975</xdr:rowOff>
    </xdr:to>
    <xdr:pic>
      <xdr:nvPicPr>
        <xdr:cNvPr id="2" name="Picture 1"/>
        <xdr:cNvPicPr>
          <a:picLocks noChangeAspect="1"/>
        </xdr:cNvPicPr>
      </xdr:nvPicPr>
      <xdr:blipFill rotWithShape="1">
        <a:blip xmlns:r="http://schemas.openxmlformats.org/officeDocument/2006/relationships" r:embed="rId1"/>
        <a:srcRect l="13838" t="18100" r="44942" b="10536"/>
        <a:stretch/>
      </xdr:blipFill>
      <xdr:spPr>
        <a:xfrm>
          <a:off x="26793824" y="333375"/>
          <a:ext cx="5362576" cy="5219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509650</xdr:colOff>
      <xdr:row>34</xdr:row>
      <xdr:rowOff>75706</xdr:rowOff>
    </xdr:from>
    <xdr:to>
      <xdr:col>13</xdr:col>
      <xdr:colOff>383474</xdr:colOff>
      <xdr:row>50</xdr:row>
      <xdr:rowOff>49481</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831272</xdr:colOff>
      <xdr:row>33</xdr:row>
      <xdr:rowOff>13854</xdr:rowOff>
    </xdr:from>
    <xdr:to>
      <xdr:col>18</xdr:col>
      <xdr:colOff>185552</xdr:colOff>
      <xdr:row>49</xdr:row>
      <xdr:rowOff>12370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890651</xdr:colOff>
      <xdr:row>32</xdr:row>
      <xdr:rowOff>111331</xdr:rowOff>
    </xdr:from>
    <xdr:to>
      <xdr:col>23</xdr:col>
      <xdr:colOff>222663</xdr:colOff>
      <xdr:row>48</xdr:row>
      <xdr:rowOff>49480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420583</xdr:colOff>
      <xdr:row>86</xdr:row>
      <xdr:rowOff>136071</xdr:rowOff>
    </xdr:from>
    <xdr:to>
      <xdr:col>13</xdr:col>
      <xdr:colOff>606135</xdr:colOff>
      <xdr:row>104</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24740</xdr:colOff>
      <xdr:row>83</xdr:row>
      <xdr:rowOff>37110</xdr:rowOff>
    </xdr:from>
    <xdr:to>
      <xdr:col>18</xdr:col>
      <xdr:colOff>655617</xdr:colOff>
      <xdr:row>100</xdr:row>
      <xdr:rowOff>12370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1014351</xdr:colOff>
      <xdr:row>74</xdr:row>
      <xdr:rowOff>173182</xdr:rowOff>
    </xdr:from>
    <xdr:to>
      <xdr:col>24</xdr:col>
      <xdr:colOff>408214</xdr:colOff>
      <xdr:row>91</xdr:row>
      <xdr:rowOff>61851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234641</xdr:colOff>
      <xdr:row>31</xdr:row>
      <xdr:rowOff>184924</xdr:rowOff>
    </xdr:from>
    <xdr:to>
      <xdr:col>13</xdr:col>
      <xdr:colOff>453019</xdr:colOff>
      <xdr:row>44</xdr:row>
      <xdr:rowOff>116159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34847</xdr:colOff>
      <xdr:row>29</xdr:row>
      <xdr:rowOff>69696</xdr:rowOff>
    </xdr:from>
    <xdr:to>
      <xdr:col>18</xdr:col>
      <xdr:colOff>313628</xdr:colOff>
      <xdr:row>43</xdr:row>
      <xdr:rowOff>23233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385647</xdr:colOff>
      <xdr:row>29</xdr:row>
      <xdr:rowOff>91998</xdr:rowOff>
    </xdr:from>
    <xdr:to>
      <xdr:col>23</xdr:col>
      <xdr:colOff>569178</xdr:colOff>
      <xdr:row>42</xdr:row>
      <xdr:rowOff>58079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76</xdr:row>
      <xdr:rowOff>0</xdr:rowOff>
    </xdr:from>
    <xdr:to>
      <xdr:col>13</xdr:col>
      <xdr:colOff>218378</xdr:colOff>
      <xdr:row>88</xdr:row>
      <xdr:rowOff>117089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418170</xdr:colOff>
      <xdr:row>75</xdr:row>
      <xdr:rowOff>58080</xdr:rowOff>
    </xdr:from>
    <xdr:to>
      <xdr:col>18</xdr:col>
      <xdr:colOff>371707</xdr:colOff>
      <xdr:row>88</xdr:row>
      <xdr:rowOff>116158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592408</xdr:colOff>
      <xdr:row>69</xdr:row>
      <xdr:rowOff>11616</xdr:rowOff>
    </xdr:from>
    <xdr:to>
      <xdr:col>23</xdr:col>
      <xdr:colOff>453019</xdr:colOff>
      <xdr:row>82</xdr:row>
      <xdr:rowOff>69694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133350</xdr:colOff>
      <xdr:row>0</xdr:row>
      <xdr:rowOff>104775</xdr:rowOff>
    </xdr:from>
    <xdr:to>
      <xdr:col>19</xdr:col>
      <xdr:colOff>409575</xdr:colOff>
      <xdr:row>23</xdr:row>
      <xdr:rowOff>114300</xdr:rowOff>
    </xdr:to>
    <xdr:pic>
      <xdr:nvPicPr>
        <xdr:cNvPr id="2" name="Picture 1"/>
        <xdr:cNvPicPr>
          <a:picLocks noChangeAspect="1"/>
        </xdr:cNvPicPr>
      </xdr:nvPicPr>
      <xdr:blipFill rotWithShape="1">
        <a:blip xmlns:r="http://schemas.openxmlformats.org/officeDocument/2006/relationships" r:embed="rId1"/>
        <a:srcRect l="28114" t="18492" r="51020" b="17959"/>
        <a:stretch/>
      </xdr:blipFill>
      <xdr:spPr>
        <a:xfrm>
          <a:off x="10525125" y="104775"/>
          <a:ext cx="2714625" cy="464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161925</xdr:colOff>
      <xdr:row>1</xdr:row>
      <xdr:rowOff>114300</xdr:rowOff>
    </xdr:from>
    <xdr:to>
      <xdr:col>27</xdr:col>
      <xdr:colOff>466725</xdr:colOff>
      <xdr:row>12</xdr:row>
      <xdr:rowOff>6350</xdr:rowOff>
    </xdr:to>
    <xdr:pic>
      <xdr:nvPicPr>
        <xdr:cNvPr id="2" name="Picture 1"/>
        <xdr:cNvPicPr/>
      </xdr:nvPicPr>
      <xdr:blipFill rotWithShape="1">
        <a:blip xmlns:r="http://schemas.openxmlformats.org/officeDocument/2006/relationships" r:embed="rId1"/>
        <a:srcRect l="43279" t="36979" r="22704" b="30412"/>
        <a:stretch/>
      </xdr:blipFill>
      <xdr:spPr bwMode="auto">
        <a:xfrm>
          <a:off x="13487400" y="314325"/>
          <a:ext cx="4572000" cy="20542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47625</xdr:colOff>
      <xdr:row>1</xdr:row>
      <xdr:rowOff>114300</xdr:rowOff>
    </xdr:from>
    <xdr:to>
      <xdr:col>9</xdr:col>
      <xdr:colOff>514350</xdr:colOff>
      <xdr:row>12</xdr:row>
      <xdr:rowOff>38099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600075</xdr:colOff>
      <xdr:row>13</xdr:row>
      <xdr:rowOff>0</xdr:rowOff>
    </xdr:from>
    <xdr:to>
      <xdr:col>6</xdr:col>
      <xdr:colOff>146050</xdr:colOff>
      <xdr:row>23</xdr:row>
      <xdr:rowOff>149225</xdr:rowOff>
    </xdr:to>
    <xdr:pic>
      <xdr:nvPicPr>
        <xdr:cNvPr id="4" name="Picture 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2524125"/>
          <a:ext cx="4203700" cy="20542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590550</xdr:colOff>
      <xdr:row>1</xdr:row>
      <xdr:rowOff>180975</xdr:rowOff>
    </xdr:from>
    <xdr:to>
      <xdr:col>11</xdr:col>
      <xdr:colOff>66675</xdr:colOff>
      <xdr:row>14</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47624</xdr:colOff>
      <xdr:row>4</xdr:row>
      <xdr:rowOff>38845</xdr:rowOff>
    </xdr:from>
    <xdr:to>
      <xdr:col>3</xdr:col>
      <xdr:colOff>1775079</xdr:colOff>
      <xdr:row>4</xdr:row>
      <xdr:rowOff>1447801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8374" y="2020045"/>
          <a:ext cx="1727455" cy="1408956"/>
        </a:xfrm>
        <a:prstGeom prst="rect">
          <a:avLst/>
        </a:prstGeom>
      </xdr:spPr>
    </xdr:pic>
    <xdr:clientData/>
  </xdr:twoCellAnchor>
  <xdr:twoCellAnchor editAs="oneCell">
    <xdr:from>
      <xdr:col>3</xdr:col>
      <xdr:colOff>38100</xdr:colOff>
      <xdr:row>5</xdr:row>
      <xdr:rowOff>66675</xdr:rowOff>
    </xdr:from>
    <xdr:to>
      <xdr:col>3</xdr:col>
      <xdr:colOff>1781175</xdr:colOff>
      <xdr:row>5</xdr:row>
      <xdr:rowOff>1428751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8850" y="3533775"/>
          <a:ext cx="1743075" cy="13620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26534</xdr:colOff>
      <xdr:row>9</xdr:row>
      <xdr:rowOff>92335</xdr:rowOff>
    </xdr:from>
    <xdr:to>
      <xdr:col>4</xdr:col>
      <xdr:colOff>561294</xdr:colOff>
      <xdr:row>17</xdr:row>
      <xdr:rowOff>182245</xdr:rowOff>
    </xdr:to>
    <xdr:pic>
      <xdr:nvPicPr>
        <xdr:cNvPr id="3" name="Picture 2"/>
        <xdr:cNvPicPr>
          <a:picLocks noChangeAspect="1"/>
        </xdr:cNvPicPr>
      </xdr:nvPicPr>
      <xdr:blipFill rotWithShape="1">
        <a:blip xmlns:r="http://schemas.openxmlformats.org/officeDocument/2006/relationships" r:embed="rId1"/>
        <a:srcRect l="45906" t="34119" r="21879" b="24470"/>
        <a:stretch/>
      </xdr:blipFill>
      <xdr:spPr>
        <a:xfrm>
          <a:off x="638855" y="1861264"/>
          <a:ext cx="2244158" cy="1586695"/>
        </a:xfrm>
        <a:prstGeom prst="rect">
          <a:avLst/>
        </a:prstGeom>
      </xdr:spPr>
    </xdr:pic>
    <xdr:clientData/>
  </xdr:twoCellAnchor>
  <xdr:twoCellAnchor editAs="oneCell">
    <xdr:from>
      <xdr:col>5</xdr:col>
      <xdr:colOff>51028</xdr:colOff>
      <xdr:row>9</xdr:row>
      <xdr:rowOff>161583</xdr:rowOff>
    </xdr:from>
    <xdr:to>
      <xdr:col>8</xdr:col>
      <xdr:colOff>450737</xdr:colOff>
      <xdr:row>18</xdr:row>
      <xdr:rowOff>83262</xdr:rowOff>
    </xdr:to>
    <xdr:pic>
      <xdr:nvPicPr>
        <xdr:cNvPr id="11" name="Picture 10"/>
        <xdr:cNvPicPr>
          <a:picLocks noChangeAspect="1"/>
        </xdr:cNvPicPr>
      </xdr:nvPicPr>
      <xdr:blipFill rotWithShape="1">
        <a:blip xmlns:r="http://schemas.openxmlformats.org/officeDocument/2006/relationships" r:embed="rId2"/>
        <a:srcRect l="46414" t="23138" r="22666" b="34655"/>
        <a:stretch/>
      </xdr:blipFill>
      <xdr:spPr>
        <a:xfrm>
          <a:off x="2985068" y="1930512"/>
          <a:ext cx="2236673" cy="1605563"/>
        </a:xfrm>
        <a:prstGeom prst="rect">
          <a:avLst/>
        </a:prstGeom>
      </xdr:spPr>
    </xdr:pic>
    <xdr:clientData/>
  </xdr:twoCellAnchor>
  <xdr:twoCellAnchor editAs="oneCell">
    <xdr:from>
      <xdr:col>8</xdr:col>
      <xdr:colOff>431334</xdr:colOff>
      <xdr:row>9</xdr:row>
      <xdr:rowOff>136071</xdr:rowOff>
    </xdr:from>
    <xdr:to>
      <xdr:col>13</xdr:col>
      <xdr:colOff>246629</xdr:colOff>
      <xdr:row>18</xdr:row>
      <xdr:rowOff>42659</xdr:rowOff>
    </xdr:to>
    <xdr:pic>
      <xdr:nvPicPr>
        <xdr:cNvPr id="14" name="Picture 13"/>
        <xdr:cNvPicPr>
          <a:picLocks noChangeAspect="1"/>
        </xdr:cNvPicPr>
      </xdr:nvPicPr>
      <xdr:blipFill rotWithShape="1">
        <a:blip xmlns:r="http://schemas.openxmlformats.org/officeDocument/2006/relationships" r:embed="rId3"/>
        <a:srcRect l="43865" t="43137" r="19397" b="22563"/>
        <a:stretch/>
      </xdr:blipFill>
      <xdr:spPr>
        <a:xfrm>
          <a:off x="5202338" y="1905000"/>
          <a:ext cx="3029983" cy="1590472"/>
        </a:xfrm>
        <a:prstGeom prst="rect">
          <a:avLst/>
        </a:prstGeom>
      </xdr:spPr>
    </xdr:pic>
    <xdr:clientData/>
  </xdr:twoCellAnchor>
  <xdr:twoCellAnchor editAs="oneCell">
    <xdr:from>
      <xdr:col>13</xdr:col>
      <xdr:colOff>484757</xdr:colOff>
      <xdr:row>9</xdr:row>
      <xdr:rowOff>68036</xdr:rowOff>
    </xdr:from>
    <xdr:to>
      <xdr:col>18</xdr:col>
      <xdr:colOff>544288</xdr:colOff>
      <xdr:row>16</xdr:row>
      <xdr:rowOff>68036</xdr:rowOff>
    </xdr:to>
    <xdr:pic>
      <xdr:nvPicPr>
        <xdr:cNvPr id="15" name="Picture 14"/>
        <xdr:cNvPicPr>
          <a:picLocks noChangeAspect="1"/>
        </xdr:cNvPicPr>
      </xdr:nvPicPr>
      <xdr:blipFill rotWithShape="1">
        <a:blip xmlns:r="http://schemas.openxmlformats.org/officeDocument/2006/relationships" r:embed="rId4"/>
        <a:srcRect l="44583" t="33371" r="26327" b="48723"/>
        <a:stretch/>
      </xdr:blipFill>
      <xdr:spPr>
        <a:xfrm>
          <a:off x="8470449" y="1836965"/>
          <a:ext cx="3784486" cy="13096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48"/>
  <sheetViews>
    <sheetView view="pageBreakPreview" topLeftCell="S28" zoomScale="86" zoomScaleNormal="110" zoomScaleSheetLayoutView="86" workbookViewId="0">
      <selection activeCell="Z36" sqref="Z36"/>
    </sheetView>
  </sheetViews>
  <sheetFormatPr defaultRowHeight="15" x14ac:dyDescent="0.25"/>
  <cols>
    <col min="2" max="2" width="5.42578125" customWidth="1"/>
    <col min="3" max="3" width="19.5703125" customWidth="1"/>
    <col min="4" max="4" width="10.85546875" customWidth="1"/>
    <col min="5" max="5" width="19.85546875" customWidth="1"/>
    <col min="10" max="10" width="13.140625" customWidth="1"/>
    <col min="19" max="20" width="14.5703125" customWidth="1"/>
    <col min="21" max="21" width="17.42578125" customWidth="1"/>
    <col min="22" max="22" width="22.140625" customWidth="1"/>
    <col min="25" max="25" width="9.140625" customWidth="1"/>
    <col min="26" max="26" width="21.140625" customWidth="1"/>
    <col min="28" max="28" width="12.42578125" customWidth="1"/>
    <col min="29" max="29" width="10.7109375" customWidth="1"/>
    <col min="30" max="30" width="14.140625" customWidth="1"/>
    <col min="31" max="31" width="27.5703125" customWidth="1"/>
    <col min="32" max="32" width="12.7109375" customWidth="1"/>
  </cols>
  <sheetData>
    <row r="1" spans="2:32" ht="15.75" thickBot="1" x14ac:dyDescent="0.3"/>
    <row r="2" spans="2:32" x14ac:dyDescent="0.25">
      <c r="B2" s="18"/>
      <c r="C2" s="6"/>
      <c r="D2" s="19"/>
      <c r="E2" s="3"/>
      <c r="F2" s="6"/>
      <c r="G2" s="458" t="s">
        <v>49</v>
      </c>
      <c r="H2" s="459"/>
      <c r="I2" s="460"/>
      <c r="J2" s="2"/>
      <c r="K2" s="464"/>
      <c r="L2" s="465"/>
      <c r="M2" s="466" t="s">
        <v>50</v>
      </c>
      <c r="N2" s="467"/>
      <c r="O2" s="468"/>
      <c r="P2" s="469"/>
      <c r="Q2" s="467"/>
      <c r="R2" s="467"/>
      <c r="S2" s="467"/>
      <c r="T2" s="468"/>
      <c r="U2" s="459" t="s">
        <v>51</v>
      </c>
      <c r="V2" s="6"/>
      <c r="W2" s="7"/>
      <c r="X2" s="8"/>
      <c r="Y2" s="9"/>
      <c r="Z2" s="10"/>
      <c r="AA2" s="440" t="s">
        <v>52</v>
      </c>
      <c r="AB2" s="11"/>
      <c r="AC2" s="11"/>
      <c r="AD2" s="11"/>
      <c r="AE2" s="446" t="s">
        <v>53</v>
      </c>
      <c r="AF2" s="444" t="s">
        <v>54</v>
      </c>
    </row>
    <row r="3" spans="2:32" ht="15.75" thickBot="1" x14ac:dyDescent="0.3">
      <c r="B3" s="4" t="s">
        <v>55</v>
      </c>
      <c r="C3" s="20" t="s">
        <v>56</v>
      </c>
      <c r="D3" s="17" t="s">
        <v>57</v>
      </c>
      <c r="E3" s="16" t="s">
        <v>58</v>
      </c>
      <c r="F3" s="20" t="s">
        <v>59</v>
      </c>
      <c r="G3" s="461"/>
      <c r="H3" s="462"/>
      <c r="I3" s="463"/>
      <c r="J3" s="5" t="s">
        <v>60</v>
      </c>
      <c r="K3" s="15" t="s">
        <v>61</v>
      </c>
      <c r="L3" s="21" t="s">
        <v>62</v>
      </c>
      <c r="M3" s="471" t="s">
        <v>63</v>
      </c>
      <c r="N3" s="471" t="s">
        <v>64</v>
      </c>
      <c r="O3" s="471" t="s">
        <v>65</v>
      </c>
      <c r="P3" s="471" t="s">
        <v>66</v>
      </c>
      <c r="Q3" s="471" t="s">
        <v>67</v>
      </c>
      <c r="R3" s="22" t="s">
        <v>68</v>
      </c>
      <c r="S3" s="23" t="s">
        <v>84</v>
      </c>
      <c r="T3" s="24" t="s">
        <v>69</v>
      </c>
      <c r="U3" s="470"/>
      <c r="V3" s="12" t="s">
        <v>70</v>
      </c>
      <c r="W3" s="473"/>
      <c r="X3" s="474"/>
      <c r="Y3" s="475"/>
      <c r="Z3" s="13" t="s">
        <v>71</v>
      </c>
      <c r="AA3" s="441"/>
      <c r="AB3" s="1" t="s">
        <v>72</v>
      </c>
      <c r="AC3" s="1" t="s">
        <v>73</v>
      </c>
      <c r="AD3" s="14" t="s">
        <v>74</v>
      </c>
      <c r="AE3" s="447"/>
      <c r="AF3" s="445"/>
    </row>
    <row r="4" spans="2:32" ht="15.75" thickBot="1" x14ac:dyDescent="0.3">
      <c r="B4" s="31"/>
      <c r="C4" s="42"/>
      <c r="D4" s="41" t="s">
        <v>75</v>
      </c>
      <c r="E4" s="69"/>
      <c r="F4" s="42" t="s">
        <v>76</v>
      </c>
      <c r="G4" s="51" t="s">
        <v>77</v>
      </c>
      <c r="H4" s="48" t="s">
        <v>78</v>
      </c>
      <c r="I4" s="70" t="s">
        <v>20</v>
      </c>
      <c r="J4" s="32" t="s">
        <v>79</v>
      </c>
      <c r="K4" s="71"/>
      <c r="L4" s="72"/>
      <c r="M4" s="472"/>
      <c r="N4" s="472"/>
      <c r="O4" s="472"/>
      <c r="P4" s="472"/>
      <c r="Q4" s="472"/>
      <c r="R4" s="73"/>
      <c r="S4" s="74"/>
      <c r="T4" s="74" t="s">
        <v>80</v>
      </c>
      <c r="U4" s="470"/>
      <c r="V4" s="38" t="s">
        <v>81</v>
      </c>
      <c r="W4" s="49"/>
      <c r="X4" s="69"/>
      <c r="Y4" s="50"/>
      <c r="Z4" s="39"/>
      <c r="AA4" s="442"/>
      <c r="AB4" s="28"/>
      <c r="AC4" s="28" t="s">
        <v>82</v>
      </c>
      <c r="AD4" s="40" t="s">
        <v>83</v>
      </c>
      <c r="AE4" s="447"/>
      <c r="AF4" s="445"/>
    </row>
    <row r="5" spans="2:32" ht="25.5" x14ac:dyDescent="0.25">
      <c r="B5" s="421">
        <v>1</v>
      </c>
      <c r="C5" s="423" t="s">
        <v>176</v>
      </c>
      <c r="D5" s="113" t="s">
        <v>0</v>
      </c>
      <c r="E5" s="113" t="s">
        <v>1</v>
      </c>
      <c r="F5" s="54" t="s">
        <v>2</v>
      </c>
      <c r="G5" s="54">
        <v>0</v>
      </c>
      <c r="H5" s="54">
        <v>0</v>
      </c>
      <c r="I5" s="54">
        <v>4</v>
      </c>
      <c r="J5" s="55">
        <v>20000000</v>
      </c>
      <c r="K5" s="56">
        <v>0</v>
      </c>
      <c r="L5" s="56">
        <v>0</v>
      </c>
      <c r="M5" s="75">
        <v>0</v>
      </c>
      <c r="N5" s="56">
        <v>1</v>
      </c>
      <c r="O5" s="56">
        <v>0</v>
      </c>
      <c r="P5" s="56">
        <v>0</v>
      </c>
      <c r="Q5" s="75">
        <v>0</v>
      </c>
      <c r="R5" s="56">
        <v>0</v>
      </c>
      <c r="S5" s="56">
        <v>0</v>
      </c>
      <c r="T5" s="56">
        <v>0</v>
      </c>
      <c r="U5" s="57" t="s">
        <v>3</v>
      </c>
      <c r="V5" s="58" t="s">
        <v>4</v>
      </c>
      <c r="W5" s="57" t="s">
        <v>5</v>
      </c>
      <c r="X5" s="57" t="s">
        <v>6</v>
      </c>
      <c r="Y5" s="57" t="s">
        <v>7</v>
      </c>
      <c r="Z5" s="59" t="s">
        <v>8</v>
      </c>
      <c r="AA5" s="60">
        <v>0</v>
      </c>
      <c r="AB5" s="60" t="s">
        <v>9</v>
      </c>
      <c r="AC5" s="60" t="s">
        <v>10</v>
      </c>
      <c r="AD5" s="60" t="s">
        <v>11</v>
      </c>
      <c r="AE5" s="424" t="s">
        <v>12</v>
      </c>
      <c r="AF5" s="427" t="s">
        <v>13</v>
      </c>
    </row>
    <row r="6" spans="2:32" ht="15.75" customHeight="1" x14ac:dyDescent="0.25">
      <c r="B6" s="422"/>
      <c r="C6" s="423"/>
      <c r="D6" s="118">
        <v>43843</v>
      </c>
      <c r="E6" s="113" t="s">
        <v>14</v>
      </c>
      <c r="F6" s="29"/>
      <c r="G6" s="25"/>
      <c r="H6" s="25"/>
      <c r="I6" s="45"/>
      <c r="J6" s="46"/>
      <c r="K6" s="25"/>
      <c r="L6" s="25"/>
      <c r="M6" s="45"/>
      <c r="N6" s="45"/>
      <c r="O6" s="45"/>
      <c r="P6" s="45"/>
      <c r="Q6" s="45"/>
      <c r="R6" s="45"/>
      <c r="S6" s="45"/>
      <c r="T6" s="45"/>
      <c r="U6" s="33" t="s">
        <v>15</v>
      </c>
      <c r="V6" s="34" t="s">
        <v>16</v>
      </c>
      <c r="W6" s="33" t="s">
        <v>5</v>
      </c>
      <c r="X6" s="33" t="s">
        <v>17</v>
      </c>
      <c r="Y6" s="33" t="s">
        <v>18</v>
      </c>
      <c r="Z6" s="35" t="s">
        <v>19</v>
      </c>
      <c r="AA6" s="36" t="s">
        <v>20</v>
      </c>
      <c r="AB6" s="36" t="s">
        <v>21</v>
      </c>
      <c r="AC6" s="36"/>
      <c r="AD6" s="36" t="s">
        <v>11</v>
      </c>
      <c r="AE6" s="425"/>
      <c r="AF6" s="428"/>
    </row>
    <row r="7" spans="2:32" ht="25.5" x14ac:dyDescent="0.25">
      <c r="B7" s="422"/>
      <c r="C7" s="423"/>
      <c r="D7" s="113" t="s">
        <v>23</v>
      </c>
      <c r="E7" s="113" t="s">
        <v>24</v>
      </c>
      <c r="F7" s="29"/>
      <c r="G7" s="45"/>
      <c r="H7" s="45"/>
      <c r="I7" s="45"/>
      <c r="J7" s="45"/>
      <c r="K7" s="25"/>
      <c r="L7" s="25"/>
      <c r="M7" s="45"/>
      <c r="N7" s="45"/>
      <c r="O7" s="45"/>
      <c r="P7" s="45"/>
      <c r="Q7" s="45"/>
      <c r="R7" s="45"/>
      <c r="S7" s="45"/>
      <c r="T7" s="45"/>
      <c r="U7" s="33"/>
      <c r="V7" s="34" t="s">
        <v>25</v>
      </c>
      <c r="W7" s="33" t="s">
        <v>26</v>
      </c>
      <c r="X7" s="33" t="s">
        <v>27</v>
      </c>
      <c r="Y7" s="33" t="s">
        <v>28</v>
      </c>
      <c r="Z7" s="35" t="s">
        <v>29</v>
      </c>
      <c r="AA7" s="36" t="s">
        <v>20</v>
      </c>
      <c r="AB7" s="36" t="s">
        <v>21</v>
      </c>
      <c r="AC7" s="36"/>
      <c r="AD7" s="36" t="s">
        <v>30</v>
      </c>
      <c r="AE7" s="425"/>
      <c r="AF7" s="428"/>
    </row>
    <row r="8" spans="2:32" x14ac:dyDescent="0.25">
      <c r="B8" s="422"/>
      <c r="C8" s="138"/>
      <c r="D8" s="127"/>
      <c r="E8" s="113" t="s">
        <v>31</v>
      </c>
      <c r="F8" s="30"/>
      <c r="G8" s="45"/>
      <c r="H8" s="45"/>
      <c r="I8" s="45"/>
      <c r="J8" s="45"/>
      <c r="K8" s="25"/>
      <c r="L8" s="25"/>
      <c r="M8" s="45"/>
      <c r="N8" s="45"/>
      <c r="O8" s="45"/>
      <c r="P8" s="45"/>
      <c r="Q8" s="45"/>
      <c r="R8" s="45"/>
      <c r="S8" s="45"/>
      <c r="T8" s="45"/>
      <c r="U8" s="33"/>
      <c r="V8" s="34" t="s">
        <v>32</v>
      </c>
      <c r="W8" s="33" t="s">
        <v>33</v>
      </c>
      <c r="X8" s="33" t="s">
        <v>34</v>
      </c>
      <c r="Y8" s="33" t="s">
        <v>35</v>
      </c>
      <c r="Z8" s="35"/>
      <c r="AA8" s="36" t="s">
        <v>20</v>
      </c>
      <c r="AB8" s="36" t="s">
        <v>21</v>
      </c>
      <c r="AC8" s="36"/>
      <c r="AD8" s="36" t="s">
        <v>11</v>
      </c>
      <c r="AE8" s="425"/>
      <c r="AF8" s="428"/>
    </row>
    <row r="9" spans="2:32" ht="25.5" x14ac:dyDescent="0.25">
      <c r="B9" s="422"/>
      <c r="C9" s="138"/>
      <c r="D9" s="127"/>
      <c r="E9" s="113" t="s">
        <v>36</v>
      </c>
      <c r="F9" s="30"/>
      <c r="G9" s="45"/>
      <c r="H9" s="45"/>
      <c r="I9" s="45"/>
      <c r="J9" s="45"/>
      <c r="K9" s="25"/>
      <c r="L9" s="25"/>
      <c r="M9" s="45"/>
      <c r="N9" s="45"/>
      <c r="O9" s="45"/>
      <c r="P9" s="45"/>
      <c r="Q9" s="45"/>
      <c r="R9" s="45"/>
      <c r="S9" s="45"/>
      <c r="T9" s="45"/>
      <c r="U9" s="33"/>
      <c r="V9" s="34" t="s">
        <v>37</v>
      </c>
      <c r="W9" s="33" t="s">
        <v>38</v>
      </c>
      <c r="X9" s="33" t="s">
        <v>17</v>
      </c>
      <c r="Y9" s="33" t="s">
        <v>35</v>
      </c>
      <c r="Z9" s="35" t="s">
        <v>39</v>
      </c>
      <c r="AA9" s="36" t="s">
        <v>20</v>
      </c>
      <c r="AB9" s="36" t="s">
        <v>21</v>
      </c>
      <c r="AC9" s="36"/>
      <c r="AD9" s="36" t="s">
        <v>11</v>
      </c>
      <c r="AE9" s="425"/>
      <c r="AF9" s="428"/>
    </row>
    <row r="10" spans="2:32" x14ac:dyDescent="0.25">
      <c r="B10" s="422"/>
      <c r="C10" s="138"/>
      <c r="D10" s="127"/>
      <c r="E10" s="113" t="s">
        <v>40</v>
      </c>
      <c r="F10" s="30"/>
      <c r="G10" s="45"/>
      <c r="H10" s="45"/>
      <c r="I10" s="45"/>
      <c r="J10" s="45"/>
      <c r="K10" s="25"/>
      <c r="L10" s="25"/>
      <c r="M10" s="45"/>
      <c r="N10" s="45"/>
      <c r="O10" s="45"/>
      <c r="P10" s="45"/>
      <c r="Q10" s="45"/>
      <c r="R10" s="45"/>
      <c r="S10" s="45"/>
      <c r="T10" s="45"/>
      <c r="U10" s="33"/>
      <c r="V10" s="34" t="s">
        <v>41</v>
      </c>
      <c r="W10" s="33" t="s">
        <v>38</v>
      </c>
      <c r="X10" s="33" t="s">
        <v>42</v>
      </c>
      <c r="Y10" s="33" t="s">
        <v>28</v>
      </c>
      <c r="Z10" s="35" t="s">
        <v>43</v>
      </c>
      <c r="AA10" s="36">
        <v>0</v>
      </c>
      <c r="AB10" s="36" t="s">
        <v>21</v>
      </c>
      <c r="AC10" s="36"/>
      <c r="AD10" s="36" t="s">
        <v>44</v>
      </c>
      <c r="AE10" s="425"/>
      <c r="AF10" s="428"/>
    </row>
    <row r="11" spans="2:32" x14ac:dyDescent="0.25">
      <c r="B11" s="422"/>
      <c r="C11" s="138"/>
      <c r="D11" s="127"/>
      <c r="E11" s="113" t="s">
        <v>45</v>
      </c>
      <c r="F11" s="30"/>
      <c r="G11" s="45"/>
      <c r="H11" s="45"/>
      <c r="I11" s="45"/>
      <c r="J11" s="45"/>
      <c r="K11" s="25"/>
      <c r="L11" s="25"/>
      <c r="M11" s="45"/>
      <c r="N11" s="45"/>
      <c r="O11" s="45"/>
      <c r="P11" s="45"/>
      <c r="Q11" s="45"/>
      <c r="R11" s="45"/>
      <c r="S11" s="45"/>
      <c r="T11" s="45"/>
      <c r="U11" s="33"/>
      <c r="V11" s="34" t="s">
        <v>46</v>
      </c>
      <c r="W11" s="33" t="s">
        <v>33</v>
      </c>
      <c r="X11" s="33" t="s">
        <v>34</v>
      </c>
      <c r="Y11" s="33" t="s">
        <v>47</v>
      </c>
      <c r="Z11" s="35" t="s">
        <v>48</v>
      </c>
      <c r="AA11" s="36">
        <v>0</v>
      </c>
      <c r="AB11" s="36" t="s">
        <v>21</v>
      </c>
      <c r="AC11" s="36"/>
      <c r="AD11" s="36" t="s">
        <v>11</v>
      </c>
      <c r="AE11" s="425"/>
      <c r="AF11" s="428"/>
    </row>
    <row r="12" spans="2:32" ht="15.75" thickBot="1" x14ac:dyDescent="0.3">
      <c r="B12" s="431"/>
      <c r="C12" s="138"/>
      <c r="D12" s="127"/>
      <c r="E12" s="127"/>
      <c r="F12" s="76">
        <v>1</v>
      </c>
      <c r="G12" s="77">
        <v>0</v>
      </c>
      <c r="H12" s="77">
        <v>0</v>
      </c>
      <c r="I12" s="77">
        <v>4</v>
      </c>
      <c r="J12" s="78">
        <v>20000000</v>
      </c>
      <c r="K12" s="79"/>
      <c r="L12" s="79"/>
      <c r="M12" s="63"/>
      <c r="N12" s="63"/>
      <c r="O12" s="63"/>
      <c r="P12" s="63"/>
      <c r="Q12" s="63"/>
      <c r="R12" s="63"/>
      <c r="S12" s="63"/>
      <c r="T12" s="63"/>
      <c r="U12" s="64"/>
      <c r="V12" s="65"/>
      <c r="W12" s="64"/>
      <c r="X12" s="64"/>
      <c r="Y12" s="64"/>
      <c r="Z12" s="66"/>
      <c r="AA12" s="67"/>
      <c r="AB12" s="67"/>
      <c r="AC12" s="67"/>
      <c r="AD12" s="67"/>
      <c r="AE12" s="426"/>
      <c r="AF12" s="429"/>
    </row>
    <row r="13" spans="2:32" ht="51" customHeight="1" x14ac:dyDescent="0.25">
      <c r="B13" s="421">
        <v>2</v>
      </c>
      <c r="C13" s="140" t="s">
        <v>177</v>
      </c>
      <c r="D13" s="139" t="s">
        <v>0</v>
      </c>
      <c r="E13" s="139" t="s">
        <v>85</v>
      </c>
      <c r="F13" s="53" t="s">
        <v>86</v>
      </c>
      <c r="G13" s="54">
        <v>2</v>
      </c>
      <c r="H13" s="54">
        <v>0</v>
      </c>
      <c r="I13" s="54">
        <v>2</v>
      </c>
      <c r="J13" s="55">
        <v>300000</v>
      </c>
      <c r="K13" s="56">
        <v>0</v>
      </c>
      <c r="L13" s="56">
        <v>0</v>
      </c>
      <c r="M13" s="56">
        <v>0</v>
      </c>
      <c r="N13" s="56">
        <v>0</v>
      </c>
      <c r="O13" s="56">
        <v>0</v>
      </c>
      <c r="P13" s="56">
        <v>1</v>
      </c>
      <c r="Q13" s="56">
        <v>0</v>
      </c>
      <c r="R13" s="56">
        <v>0</v>
      </c>
      <c r="S13" s="56">
        <v>0</v>
      </c>
      <c r="T13" s="56">
        <v>0</v>
      </c>
      <c r="U13" s="57" t="s">
        <v>87</v>
      </c>
      <c r="V13" s="58" t="s">
        <v>88</v>
      </c>
      <c r="W13" s="57" t="s">
        <v>5</v>
      </c>
      <c r="X13" s="57" t="s">
        <v>98</v>
      </c>
      <c r="Y13" s="57" t="s">
        <v>7</v>
      </c>
      <c r="Z13" s="59" t="s">
        <v>99</v>
      </c>
      <c r="AA13" s="60" t="s">
        <v>20</v>
      </c>
      <c r="AB13" s="60" t="s">
        <v>100</v>
      </c>
      <c r="AC13" s="60" t="s">
        <v>101</v>
      </c>
      <c r="AD13" s="60" t="s">
        <v>11</v>
      </c>
      <c r="AE13" s="430" t="s">
        <v>102</v>
      </c>
      <c r="AF13" s="427" t="s">
        <v>116</v>
      </c>
    </row>
    <row r="14" spans="2:32" ht="30" customHeight="1" x14ac:dyDescent="0.25">
      <c r="B14" s="422"/>
      <c r="C14" s="119" t="s">
        <v>89</v>
      </c>
      <c r="D14" s="37">
        <v>43906</v>
      </c>
      <c r="E14" s="27" t="s">
        <v>90</v>
      </c>
      <c r="F14" s="29" t="s">
        <v>86</v>
      </c>
      <c r="G14" s="25"/>
      <c r="H14" s="25"/>
      <c r="I14" s="45"/>
      <c r="J14" s="46"/>
      <c r="K14" s="45"/>
      <c r="L14" s="45"/>
      <c r="M14" s="45"/>
      <c r="N14" s="45"/>
      <c r="O14" s="45"/>
      <c r="P14" s="45"/>
      <c r="Q14" s="45"/>
      <c r="R14" s="45"/>
      <c r="S14" s="45"/>
      <c r="T14" s="45"/>
      <c r="U14" s="33" t="s">
        <v>91</v>
      </c>
      <c r="V14" s="34" t="s">
        <v>92</v>
      </c>
      <c r="W14" s="33" t="s">
        <v>103</v>
      </c>
      <c r="X14" s="33" t="s">
        <v>104</v>
      </c>
      <c r="Y14" s="33" t="s">
        <v>105</v>
      </c>
      <c r="Z14" s="35" t="s">
        <v>106</v>
      </c>
      <c r="AA14" s="36" t="s">
        <v>78</v>
      </c>
      <c r="AB14" s="36" t="s">
        <v>107</v>
      </c>
      <c r="AC14" s="36"/>
      <c r="AD14" s="36" t="s">
        <v>11</v>
      </c>
      <c r="AE14" s="425"/>
      <c r="AF14" s="428"/>
    </row>
    <row r="15" spans="2:32" ht="25.5" x14ac:dyDescent="0.25">
      <c r="B15" s="422"/>
      <c r="C15" s="119" t="s">
        <v>22</v>
      </c>
      <c r="D15" s="27" t="s">
        <v>93</v>
      </c>
      <c r="E15" s="27" t="s">
        <v>94</v>
      </c>
      <c r="F15" s="29"/>
      <c r="G15" s="45"/>
      <c r="H15" s="45"/>
      <c r="I15" s="45"/>
      <c r="J15" s="45"/>
      <c r="K15" s="45"/>
      <c r="L15" s="45"/>
      <c r="M15" s="45"/>
      <c r="N15" s="45"/>
      <c r="O15" s="45"/>
      <c r="P15" s="45"/>
      <c r="Q15" s="45"/>
      <c r="R15" s="45"/>
      <c r="S15" s="45"/>
      <c r="T15" s="45"/>
      <c r="U15" s="33"/>
      <c r="V15" s="34" t="s">
        <v>95</v>
      </c>
      <c r="W15" s="33" t="s">
        <v>103</v>
      </c>
      <c r="X15" s="33" t="s">
        <v>108</v>
      </c>
      <c r="Y15" s="33" t="s">
        <v>109</v>
      </c>
      <c r="Z15" s="35" t="s">
        <v>110</v>
      </c>
      <c r="AA15" s="36" t="s">
        <v>77</v>
      </c>
      <c r="AB15" s="36" t="s">
        <v>111</v>
      </c>
      <c r="AC15" s="36"/>
      <c r="AD15" s="36" t="s">
        <v>11</v>
      </c>
      <c r="AE15" s="425"/>
      <c r="AF15" s="428"/>
    </row>
    <row r="16" spans="2:32" x14ac:dyDescent="0.25">
      <c r="B16" s="422"/>
      <c r="C16" s="114"/>
      <c r="D16" s="26"/>
      <c r="E16" s="26"/>
      <c r="F16" s="47">
        <v>1</v>
      </c>
      <c r="G16" s="47">
        <v>2</v>
      </c>
      <c r="H16" s="47">
        <v>0</v>
      </c>
      <c r="I16" s="47">
        <v>2</v>
      </c>
      <c r="J16" s="43">
        <v>300000</v>
      </c>
      <c r="K16" s="45"/>
      <c r="L16" s="45"/>
      <c r="M16" s="45"/>
      <c r="N16" s="45"/>
      <c r="O16" s="45"/>
      <c r="P16" s="45"/>
      <c r="Q16" s="45"/>
      <c r="R16" s="45"/>
      <c r="S16" s="45"/>
      <c r="T16" s="45"/>
      <c r="U16" s="33"/>
      <c r="V16" s="34" t="s">
        <v>96</v>
      </c>
      <c r="W16" s="33" t="s">
        <v>103</v>
      </c>
      <c r="X16" s="33" t="s">
        <v>108</v>
      </c>
      <c r="Y16" s="33" t="s">
        <v>109</v>
      </c>
      <c r="Z16" s="35" t="s">
        <v>112</v>
      </c>
      <c r="AA16" s="36" t="s">
        <v>77</v>
      </c>
      <c r="AB16" s="36" t="s">
        <v>113</v>
      </c>
      <c r="AC16" s="36"/>
      <c r="AD16" s="36" t="s">
        <v>11</v>
      </c>
      <c r="AE16" s="425"/>
      <c r="AF16" s="428"/>
    </row>
    <row r="17" spans="2:32" ht="15.75" thickBot="1" x14ac:dyDescent="0.3">
      <c r="B17" s="431"/>
      <c r="C17" s="141"/>
      <c r="D17" s="62"/>
      <c r="E17" s="62"/>
      <c r="F17" s="62"/>
      <c r="G17" s="62"/>
      <c r="H17" s="62"/>
      <c r="I17" s="62"/>
      <c r="J17" s="62"/>
      <c r="K17" s="63"/>
      <c r="L17" s="63"/>
      <c r="M17" s="63"/>
      <c r="N17" s="63"/>
      <c r="O17" s="63"/>
      <c r="P17" s="63"/>
      <c r="Q17" s="63"/>
      <c r="R17" s="63"/>
      <c r="S17" s="63"/>
      <c r="T17" s="63"/>
      <c r="U17" s="64"/>
      <c r="V17" s="65" t="s">
        <v>97</v>
      </c>
      <c r="W17" s="64" t="s">
        <v>103</v>
      </c>
      <c r="X17" s="64" t="s">
        <v>114</v>
      </c>
      <c r="Y17" s="64" t="s">
        <v>35</v>
      </c>
      <c r="Z17" s="66" t="s">
        <v>112</v>
      </c>
      <c r="AA17" s="67" t="s">
        <v>20</v>
      </c>
      <c r="AB17" s="67" t="s">
        <v>115</v>
      </c>
      <c r="AC17" s="67"/>
      <c r="AD17" s="67"/>
      <c r="AE17" s="426"/>
      <c r="AF17" s="429"/>
    </row>
    <row r="18" spans="2:32" ht="25.5" customHeight="1" x14ac:dyDescent="0.25">
      <c r="B18" s="432">
        <v>3</v>
      </c>
      <c r="C18" s="52" t="s">
        <v>178</v>
      </c>
      <c r="D18" s="52" t="s">
        <v>117</v>
      </c>
      <c r="E18" s="52" t="s">
        <v>118</v>
      </c>
      <c r="F18" s="53" t="s">
        <v>86</v>
      </c>
      <c r="G18" s="54">
        <v>0</v>
      </c>
      <c r="H18" s="54">
        <v>0</v>
      </c>
      <c r="I18" s="54">
        <v>1</v>
      </c>
      <c r="J18" s="55">
        <v>300000</v>
      </c>
      <c r="K18" s="56">
        <v>1</v>
      </c>
      <c r="L18" s="56">
        <v>0</v>
      </c>
      <c r="M18" s="56">
        <v>0</v>
      </c>
      <c r="N18" s="56">
        <v>0</v>
      </c>
      <c r="O18" s="56">
        <v>0</v>
      </c>
      <c r="P18" s="56">
        <v>0</v>
      </c>
      <c r="Q18" s="56">
        <v>0</v>
      </c>
      <c r="R18" s="56">
        <v>0</v>
      </c>
      <c r="S18" s="56">
        <v>0</v>
      </c>
      <c r="T18" s="56">
        <v>0</v>
      </c>
      <c r="U18" s="57" t="s">
        <v>119</v>
      </c>
      <c r="V18" s="58" t="s">
        <v>120</v>
      </c>
      <c r="W18" s="57" t="s">
        <v>5</v>
      </c>
      <c r="X18" s="57" t="s">
        <v>125</v>
      </c>
      <c r="Y18" s="57" t="s">
        <v>105</v>
      </c>
      <c r="Z18" s="59" t="s">
        <v>126</v>
      </c>
      <c r="AA18" s="60" t="s">
        <v>20</v>
      </c>
      <c r="AB18" s="60" t="s">
        <v>21</v>
      </c>
      <c r="AC18" s="60" t="s">
        <v>127</v>
      </c>
      <c r="AD18" s="60" t="s">
        <v>11</v>
      </c>
      <c r="AE18" s="430" t="s">
        <v>128</v>
      </c>
      <c r="AF18" s="438" t="s">
        <v>141</v>
      </c>
    </row>
    <row r="19" spans="2:32" ht="25.5" x14ac:dyDescent="0.25">
      <c r="B19" s="433"/>
      <c r="C19" s="27" t="s">
        <v>121</v>
      </c>
      <c r="D19" s="37">
        <v>43893</v>
      </c>
      <c r="E19" s="27" t="s">
        <v>122</v>
      </c>
      <c r="F19" s="29" t="s">
        <v>180</v>
      </c>
      <c r="G19" s="44"/>
      <c r="H19" s="44"/>
      <c r="I19" s="45"/>
      <c r="J19" s="46"/>
      <c r="K19" s="45"/>
      <c r="L19" s="45"/>
      <c r="M19" s="45"/>
      <c r="N19" s="45"/>
      <c r="O19" s="45"/>
      <c r="P19" s="45"/>
      <c r="Q19" s="45"/>
      <c r="R19" s="45"/>
      <c r="S19" s="45"/>
      <c r="T19" s="45"/>
      <c r="U19" s="33" t="s">
        <v>123</v>
      </c>
      <c r="V19" s="34"/>
      <c r="W19" s="33"/>
      <c r="X19" s="33"/>
      <c r="Y19" s="33"/>
      <c r="Z19" s="35"/>
      <c r="AA19" s="36"/>
      <c r="AB19" s="36"/>
      <c r="AC19" s="36"/>
      <c r="AD19" s="36"/>
      <c r="AE19" s="425"/>
      <c r="AF19" s="439"/>
    </row>
    <row r="20" spans="2:32" x14ac:dyDescent="0.25">
      <c r="B20" s="433"/>
      <c r="C20" s="27" t="s">
        <v>22</v>
      </c>
      <c r="D20" s="27" t="s">
        <v>124</v>
      </c>
      <c r="E20" s="27"/>
      <c r="F20" s="29"/>
      <c r="G20" s="45"/>
      <c r="H20" s="45"/>
      <c r="I20" s="45"/>
      <c r="J20" s="45"/>
      <c r="K20" s="45"/>
      <c r="L20" s="45"/>
      <c r="M20" s="45"/>
      <c r="N20" s="45"/>
      <c r="O20" s="45"/>
      <c r="P20" s="45"/>
      <c r="Q20" s="45"/>
      <c r="R20" s="45"/>
      <c r="S20" s="45"/>
      <c r="T20" s="45"/>
      <c r="U20" s="33"/>
      <c r="V20" s="34"/>
      <c r="W20" s="33"/>
      <c r="X20" s="33"/>
      <c r="Y20" s="33"/>
      <c r="Z20" s="35"/>
      <c r="AA20" s="36"/>
      <c r="AB20" s="36"/>
      <c r="AC20" s="36"/>
      <c r="AD20" s="36"/>
      <c r="AE20" s="425"/>
      <c r="AF20" s="439"/>
    </row>
    <row r="21" spans="2:32" ht="15.75" thickBot="1" x14ac:dyDescent="0.3">
      <c r="B21" s="434"/>
      <c r="C21" s="61"/>
      <c r="D21" s="62"/>
      <c r="E21" s="62"/>
      <c r="F21" s="62"/>
      <c r="G21" s="62"/>
      <c r="H21" s="62"/>
      <c r="I21" s="62"/>
      <c r="J21" s="62"/>
      <c r="K21" s="63"/>
      <c r="L21" s="63"/>
      <c r="M21" s="63"/>
      <c r="N21" s="63"/>
      <c r="O21" s="63"/>
      <c r="P21" s="63"/>
      <c r="Q21" s="63"/>
      <c r="R21" s="63"/>
      <c r="S21" s="63"/>
      <c r="T21" s="63"/>
      <c r="U21" s="64"/>
      <c r="V21" s="65"/>
      <c r="W21" s="64"/>
      <c r="X21" s="64"/>
      <c r="Y21" s="64"/>
      <c r="Z21" s="66"/>
      <c r="AA21" s="67"/>
      <c r="AB21" s="67"/>
      <c r="AC21" s="67"/>
      <c r="AD21" s="67"/>
      <c r="AE21" s="426"/>
      <c r="AF21" s="443"/>
    </row>
    <row r="22" spans="2:32" ht="25.5" x14ac:dyDescent="0.25">
      <c r="B22" s="432">
        <v>4</v>
      </c>
      <c r="C22" s="52" t="s">
        <v>178</v>
      </c>
      <c r="D22" s="52" t="s">
        <v>129</v>
      </c>
      <c r="E22" s="52" t="s">
        <v>130</v>
      </c>
      <c r="F22" s="53" t="s">
        <v>86</v>
      </c>
      <c r="G22" s="54">
        <v>1</v>
      </c>
      <c r="H22" s="54">
        <v>0</v>
      </c>
      <c r="I22" s="54">
        <v>0</v>
      </c>
      <c r="J22" s="55">
        <v>500000</v>
      </c>
      <c r="K22" s="56">
        <v>0</v>
      </c>
      <c r="L22" s="56">
        <v>1</v>
      </c>
      <c r="M22" s="56">
        <v>0</v>
      </c>
      <c r="N22" s="56">
        <v>0</v>
      </c>
      <c r="O22" s="56">
        <v>0</v>
      </c>
      <c r="P22" s="56">
        <v>0</v>
      </c>
      <c r="Q22" s="56">
        <v>0</v>
      </c>
      <c r="R22" s="56">
        <v>0</v>
      </c>
      <c r="S22" s="56">
        <v>0</v>
      </c>
      <c r="T22" s="56">
        <v>0</v>
      </c>
      <c r="U22" s="57" t="s">
        <v>87</v>
      </c>
      <c r="V22" s="58" t="s">
        <v>131</v>
      </c>
      <c r="W22" s="57" t="s">
        <v>5</v>
      </c>
      <c r="X22" s="57" t="s">
        <v>132</v>
      </c>
      <c r="Y22" s="57" t="s">
        <v>105</v>
      </c>
      <c r="Z22" s="59" t="s">
        <v>133</v>
      </c>
      <c r="AA22" s="60">
        <v>0</v>
      </c>
      <c r="AB22" s="60" t="s">
        <v>21</v>
      </c>
      <c r="AC22" s="60" t="s">
        <v>127</v>
      </c>
      <c r="AD22" s="60" t="s">
        <v>11</v>
      </c>
      <c r="AE22" s="430" t="s">
        <v>134</v>
      </c>
      <c r="AF22" s="438" t="s">
        <v>141</v>
      </c>
    </row>
    <row r="23" spans="2:32" x14ac:dyDescent="0.25">
      <c r="B23" s="433"/>
      <c r="C23" s="113" t="s">
        <v>175</v>
      </c>
      <c r="D23" s="87">
        <v>43937</v>
      </c>
      <c r="E23" s="81" t="s">
        <v>122</v>
      </c>
      <c r="F23" s="82" t="s">
        <v>135</v>
      </c>
      <c r="G23" s="88"/>
      <c r="H23" s="88"/>
      <c r="I23" s="89"/>
      <c r="J23" s="90"/>
      <c r="K23" s="89"/>
      <c r="L23" s="89"/>
      <c r="M23" s="89"/>
      <c r="N23" s="89"/>
      <c r="O23" s="89"/>
      <c r="P23" s="89"/>
      <c r="Q23" s="89"/>
      <c r="R23" s="89"/>
      <c r="S23" s="89"/>
      <c r="T23" s="89"/>
      <c r="U23" s="83" t="s">
        <v>136</v>
      </c>
      <c r="V23" s="84" t="s">
        <v>137</v>
      </c>
      <c r="W23" s="83" t="s">
        <v>5</v>
      </c>
      <c r="X23" s="83" t="s">
        <v>138</v>
      </c>
      <c r="Y23" s="83" t="s">
        <v>105</v>
      </c>
      <c r="Z23" s="85" t="s">
        <v>139</v>
      </c>
      <c r="AA23" s="86" t="s">
        <v>77</v>
      </c>
      <c r="AB23" s="86" t="s">
        <v>100</v>
      </c>
      <c r="AC23" s="86"/>
      <c r="AD23" s="86" t="s">
        <v>11</v>
      </c>
      <c r="AE23" s="425"/>
      <c r="AF23" s="439"/>
    </row>
    <row r="24" spans="2:32" x14ac:dyDescent="0.25">
      <c r="B24" s="433"/>
      <c r="C24" s="113"/>
      <c r="D24" s="81" t="s">
        <v>140</v>
      </c>
      <c r="E24" s="81"/>
      <c r="F24" s="82"/>
      <c r="G24" s="89"/>
      <c r="H24" s="89"/>
      <c r="I24" s="89"/>
      <c r="J24" s="89"/>
      <c r="K24" s="89"/>
      <c r="L24" s="89"/>
      <c r="M24" s="89"/>
      <c r="N24" s="89"/>
      <c r="O24" s="89"/>
      <c r="P24" s="89"/>
      <c r="Q24" s="89"/>
      <c r="R24" s="89"/>
      <c r="S24" s="89"/>
      <c r="T24" s="89"/>
      <c r="U24" s="83"/>
      <c r="V24" s="84"/>
      <c r="W24" s="83"/>
      <c r="X24" s="83"/>
      <c r="Y24" s="83"/>
      <c r="Z24" s="85"/>
      <c r="AA24" s="86"/>
      <c r="AB24" s="86"/>
      <c r="AC24" s="86"/>
      <c r="AD24" s="86"/>
      <c r="AE24" s="425"/>
      <c r="AF24" s="439"/>
    </row>
    <row r="25" spans="2:32" x14ac:dyDescent="0.25">
      <c r="B25" s="433"/>
      <c r="C25" s="112"/>
      <c r="D25" s="80"/>
      <c r="E25" s="80"/>
      <c r="F25" s="80"/>
      <c r="G25" s="80"/>
      <c r="H25" s="80"/>
      <c r="I25" s="80"/>
      <c r="J25" s="80"/>
      <c r="K25" s="89"/>
      <c r="L25" s="89"/>
      <c r="M25" s="89"/>
      <c r="N25" s="89"/>
      <c r="O25" s="89"/>
      <c r="P25" s="89"/>
      <c r="Q25" s="89"/>
      <c r="R25" s="89"/>
      <c r="S25" s="89"/>
      <c r="T25" s="89"/>
      <c r="U25" s="83"/>
      <c r="V25" s="84"/>
      <c r="W25" s="83"/>
      <c r="X25" s="83"/>
      <c r="Y25" s="83"/>
      <c r="Z25" s="85"/>
      <c r="AA25" s="86"/>
      <c r="AB25" s="86"/>
      <c r="AC25" s="86"/>
      <c r="AD25" s="86"/>
      <c r="AE25" s="425"/>
      <c r="AF25" s="439"/>
    </row>
    <row r="26" spans="2:32" ht="25.5" customHeight="1" thickBot="1" x14ac:dyDescent="0.3">
      <c r="B26" s="434"/>
      <c r="C26" s="61"/>
      <c r="D26" s="62"/>
      <c r="E26" s="62"/>
      <c r="F26" s="62"/>
      <c r="G26" s="62"/>
      <c r="H26" s="62"/>
      <c r="I26" s="62"/>
      <c r="J26" s="62"/>
      <c r="K26" s="63"/>
      <c r="L26" s="63"/>
      <c r="M26" s="63"/>
      <c r="N26" s="63"/>
      <c r="O26" s="63"/>
      <c r="P26" s="63"/>
      <c r="Q26" s="63"/>
      <c r="R26" s="63"/>
      <c r="S26" s="63"/>
      <c r="T26" s="63"/>
      <c r="U26" s="64"/>
      <c r="V26" s="65"/>
      <c r="W26" s="64"/>
      <c r="X26" s="64"/>
      <c r="Y26" s="64"/>
      <c r="Z26" s="66"/>
      <c r="AA26" s="67"/>
      <c r="AB26" s="67"/>
      <c r="AC26" s="67"/>
      <c r="AD26" s="67"/>
      <c r="AE26" s="426"/>
      <c r="AF26" s="443"/>
    </row>
    <row r="27" spans="2:32" ht="38.25" customHeight="1" x14ac:dyDescent="0.25">
      <c r="B27" s="421">
        <v>5</v>
      </c>
      <c r="C27" s="100" t="s">
        <v>179</v>
      </c>
      <c r="D27" s="101" t="s">
        <v>117</v>
      </c>
      <c r="E27" s="102" t="s">
        <v>142</v>
      </c>
      <c r="F27" s="103" t="s">
        <v>86</v>
      </c>
      <c r="G27" s="104">
        <v>1</v>
      </c>
      <c r="H27" s="104">
        <v>0</v>
      </c>
      <c r="I27" s="104">
        <v>0</v>
      </c>
      <c r="J27" s="105">
        <v>100000</v>
      </c>
      <c r="K27" s="106">
        <v>1</v>
      </c>
      <c r="L27" s="106">
        <v>0</v>
      </c>
      <c r="M27" s="107">
        <v>0</v>
      </c>
      <c r="N27" s="106">
        <v>0</v>
      </c>
      <c r="O27" s="106">
        <v>0</v>
      </c>
      <c r="P27" s="106">
        <v>0</v>
      </c>
      <c r="Q27" s="107">
        <v>0</v>
      </c>
      <c r="R27" s="106">
        <v>0</v>
      </c>
      <c r="S27" s="106">
        <v>0</v>
      </c>
      <c r="T27" s="106">
        <v>0</v>
      </c>
      <c r="U27" s="107" t="s">
        <v>143</v>
      </c>
      <c r="V27" s="108" t="s">
        <v>144</v>
      </c>
      <c r="W27" s="108" t="s">
        <v>145</v>
      </c>
      <c r="X27" s="108" t="s">
        <v>146</v>
      </c>
      <c r="Y27" s="108" t="s">
        <v>47</v>
      </c>
      <c r="Z27" s="108" t="s">
        <v>147</v>
      </c>
      <c r="AA27" s="104" t="s">
        <v>77</v>
      </c>
      <c r="AB27" s="104" t="s">
        <v>21</v>
      </c>
      <c r="AC27" s="108" t="s">
        <v>148</v>
      </c>
      <c r="AD27" s="108" t="s">
        <v>30</v>
      </c>
      <c r="AE27" s="476" t="s">
        <v>149</v>
      </c>
      <c r="AF27" s="435" t="s">
        <v>154</v>
      </c>
    </row>
    <row r="28" spans="2:32" x14ac:dyDescent="0.25">
      <c r="B28" s="422"/>
      <c r="C28" s="109" t="s">
        <v>150</v>
      </c>
      <c r="D28" s="91">
        <v>44117</v>
      </c>
      <c r="E28" s="94" t="s">
        <v>151</v>
      </c>
      <c r="F28" s="95" t="s">
        <v>180</v>
      </c>
      <c r="G28" s="25"/>
      <c r="H28" s="25"/>
      <c r="I28" s="25"/>
      <c r="J28" s="96"/>
      <c r="K28" s="25"/>
      <c r="L28" s="25"/>
      <c r="M28" s="25"/>
      <c r="N28" s="25"/>
      <c r="O28" s="25"/>
      <c r="P28" s="25"/>
      <c r="Q28" s="25"/>
      <c r="R28" s="25"/>
      <c r="S28" s="25"/>
      <c r="T28" s="25"/>
      <c r="U28" s="93"/>
      <c r="V28" s="97"/>
      <c r="W28" s="93"/>
      <c r="X28" s="93"/>
      <c r="Y28" s="93"/>
      <c r="Z28" s="98"/>
      <c r="AA28" s="99"/>
      <c r="AB28" s="99"/>
      <c r="AC28" s="99"/>
      <c r="AD28" s="99"/>
      <c r="AE28" s="477"/>
      <c r="AF28" s="436"/>
    </row>
    <row r="29" spans="2:32" x14ac:dyDescent="0.25">
      <c r="B29" s="422"/>
      <c r="C29" s="109" t="s">
        <v>152</v>
      </c>
      <c r="D29" s="91" t="s">
        <v>153</v>
      </c>
      <c r="E29" s="92"/>
      <c r="F29" s="95"/>
      <c r="G29" s="25"/>
      <c r="H29" s="25"/>
      <c r="I29" s="25"/>
      <c r="J29" s="25"/>
      <c r="K29" s="25"/>
      <c r="L29" s="25"/>
      <c r="M29" s="25"/>
      <c r="N29" s="25"/>
      <c r="O29" s="25"/>
      <c r="P29" s="25"/>
      <c r="Q29" s="25"/>
      <c r="R29" s="25"/>
      <c r="S29" s="25"/>
      <c r="T29" s="25"/>
      <c r="U29" s="93"/>
      <c r="V29" s="97"/>
      <c r="W29" s="93"/>
      <c r="X29" s="93"/>
      <c r="Y29" s="93"/>
      <c r="Z29" s="98"/>
      <c r="AA29" s="99"/>
      <c r="AB29" s="99"/>
      <c r="AC29" s="99"/>
      <c r="AD29" s="99"/>
      <c r="AE29" s="477"/>
      <c r="AF29" s="436"/>
    </row>
    <row r="30" spans="2:32" x14ac:dyDescent="0.25">
      <c r="B30" s="422"/>
      <c r="C30" s="109"/>
      <c r="D30" s="91"/>
      <c r="E30" s="92"/>
      <c r="F30" s="95"/>
      <c r="G30" s="25"/>
      <c r="H30" s="25"/>
      <c r="I30" s="25"/>
      <c r="J30" s="25"/>
      <c r="K30" s="25"/>
      <c r="L30" s="25"/>
      <c r="M30" s="25"/>
      <c r="N30" s="25"/>
      <c r="O30" s="25"/>
      <c r="P30" s="25"/>
      <c r="Q30" s="25"/>
      <c r="R30" s="25"/>
      <c r="S30" s="25"/>
      <c r="T30" s="25"/>
      <c r="U30" s="93"/>
      <c r="V30" s="97"/>
      <c r="W30" s="93"/>
      <c r="X30" s="93"/>
      <c r="Y30" s="93"/>
      <c r="Z30" s="98"/>
      <c r="AA30" s="99"/>
      <c r="AB30" s="99"/>
      <c r="AC30" s="99"/>
      <c r="AD30" s="99"/>
      <c r="AE30" s="477"/>
      <c r="AF30" s="436"/>
    </row>
    <row r="31" spans="2:32" ht="15.75" thickBot="1" x14ac:dyDescent="0.3">
      <c r="B31" s="431"/>
      <c r="C31" s="122"/>
      <c r="D31" s="123"/>
      <c r="E31" s="124"/>
      <c r="F31" s="124"/>
      <c r="G31" s="124"/>
      <c r="H31" s="124"/>
      <c r="I31" s="124"/>
      <c r="J31" s="124"/>
      <c r="K31" s="68"/>
      <c r="L31" s="68"/>
      <c r="M31" s="68"/>
      <c r="N31" s="68"/>
      <c r="O31" s="68"/>
      <c r="P31" s="68"/>
      <c r="Q31" s="68"/>
      <c r="R31" s="68"/>
      <c r="S31" s="68"/>
      <c r="T31" s="68"/>
      <c r="U31" s="125"/>
      <c r="V31" s="126"/>
      <c r="W31" s="125"/>
      <c r="X31" s="125"/>
      <c r="Y31" s="125"/>
      <c r="Z31" s="130"/>
      <c r="AA31" s="131"/>
      <c r="AB31" s="110"/>
      <c r="AC31" s="110"/>
      <c r="AD31" s="110"/>
      <c r="AE31" s="478"/>
      <c r="AF31" s="437"/>
    </row>
    <row r="32" spans="2:32" ht="25.5" x14ac:dyDescent="0.25">
      <c r="B32" s="421">
        <v>6</v>
      </c>
      <c r="C32" s="136" t="s">
        <v>179</v>
      </c>
      <c r="D32" s="102" t="s">
        <v>155</v>
      </c>
      <c r="E32" s="102" t="s">
        <v>156</v>
      </c>
      <c r="F32" s="103" t="s">
        <v>86</v>
      </c>
      <c r="G32" s="104">
        <v>0</v>
      </c>
      <c r="H32" s="104">
        <v>0</v>
      </c>
      <c r="I32" s="104">
        <v>3</v>
      </c>
      <c r="J32" s="105">
        <v>2000000</v>
      </c>
      <c r="K32" s="106">
        <v>0</v>
      </c>
      <c r="L32" s="106">
        <v>1</v>
      </c>
      <c r="M32" s="107">
        <v>0</v>
      </c>
      <c r="N32" s="106">
        <v>0</v>
      </c>
      <c r="O32" s="106">
        <v>0</v>
      </c>
      <c r="P32" s="106">
        <v>0</v>
      </c>
      <c r="Q32" s="107">
        <v>0</v>
      </c>
      <c r="R32" s="106">
        <v>0</v>
      </c>
      <c r="S32" s="106">
        <v>0</v>
      </c>
      <c r="T32" s="106">
        <v>0</v>
      </c>
      <c r="U32" s="107" t="s">
        <v>157</v>
      </c>
      <c r="V32" s="132" t="s">
        <v>158</v>
      </c>
      <c r="W32" s="121" t="s">
        <v>33</v>
      </c>
      <c r="X32" s="57" t="s">
        <v>165</v>
      </c>
      <c r="Y32" s="57" t="s">
        <v>105</v>
      </c>
      <c r="Z32" s="59" t="s">
        <v>166</v>
      </c>
      <c r="AA32" s="133" t="s">
        <v>20</v>
      </c>
      <c r="AB32" s="128" t="s">
        <v>167</v>
      </c>
      <c r="AC32" s="60" t="s">
        <v>127</v>
      </c>
      <c r="AD32" s="60" t="s">
        <v>11</v>
      </c>
      <c r="AE32" s="430" t="s">
        <v>168</v>
      </c>
      <c r="AF32" s="438" t="s">
        <v>169</v>
      </c>
    </row>
    <row r="33" spans="2:32" ht="25.5" x14ac:dyDescent="0.25">
      <c r="B33" s="422"/>
      <c r="C33" s="137" t="s">
        <v>159</v>
      </c>
      <c r="D33" s="111" t="s">
        <v>160</v>
      </c>
      <c r="E33" s="94" t="s">
        <v>161</v>
      </c>
      <c r="F33" s="95" t="s">
        <v>180</v>
      </c>
      <c r="G33" s="25"/>
      <c r="H33" s="25"/>
      <c r="I33" s="25"/>
      <c r="J33" s="96"/>
      <c r="K33" s="25"/>
      <c r="L33" s="25"/>
      <c r="M33" s="25"/>
      <c r="N33" s="25"/>
      <c r="O33" s="25"/>
      <c r="P33" s="25"/>
      <c r="Q33" s="25"/>
      <c r="R33" s="25"/>
      <c r="S33" s="25"/>
      <c r="T33" s="25"/>
      <c r="U33" s="93"/>
      <c r="V33" s="97" t="s">
        <v>162</v>
      </c>
      <c r="W33" s="120" t="s">
        <v>5</v>
      </c>
      <c r="X33" s="115" t="s">
        <v>170</v>
      </c>
      <c r="Y33" s="115" t="s">
        <v>105</v>
      </c>
      <c r="Z33" s="116" t="s">
        <v>171</v>
      </c>
      <c r="AA33" s="134" t="s">
        <v>20</v>
      </c>
      <c r="AB33" s="129" t="s">
        <v>172</v>
      </c>
      <c r="AC33" s="117"/>
      <c r="AD33" s="117" t="s">
        <v>11</v>
      </c>
      <c r="AE33" s="425"/>
      <c r="AF33" s="439"/>
    </row>
    <row r="34" spans="2:32" x14ac:dyDescent="0.25">
      <c r="B34" s="422"/>
      <c r="C34" s="137" t="s">
        <v>22</v>
      </c>
      <c r="D34" s="92" t="s">
        <v>163</v>
      </c>
      <c r="E34" s="92"/>
      <c r="F34" s="95"/>
      <c r="G34" s="25"/>
      <c r="H34" s="25"/>
      <c r="I34" s="25"/>
      <c r="J34" s="25"/>
      <c r="K34" s="25"/>
      <c r="L34" s="25"/>
      <c r="M34" s="25"/>
      <c r="N34" s="25"/>
      <c r="O34" s="25"/>
      <c r="P34" s="25"/>
      <c r="Q34" s="25"/>
      <c r="R34" s="25"/>
      <c r="S34" s="25"/>
      <c r="T34" s="25"/>
      <c r="U34" s="93"/>
      <c r="V34" s="97" t="s">
        <v>164</v>
      </c>
      <c r="W34" s="120" t="s">
        <v>5</v>
      </c>
      <c r="X34" s="115" t="s">
        <v>173</v>
      </c>
      <c r="Y34" s="115" t="s">
        <v>105</v>
      </c>
      <c r="Z34" s="116" t="s">
        <v>174</v>
      </c>
      <c r="AA34" s="135" t="s">
        <v>20</v>
      </c>
      <c r="AB34" s="129" t="s">
        <v>100</v>
      </c>
      <c r="AC34" s="117"/>
      <c r="AD34" s="117"/>
      <c r="AE34" s="425"/>
      <c r="AF34" s="439"/>
    </row>
    <row r="35" spans="2:32" x14ac:dyDescent="0.25">
      <c r="B35" s="422"/>
      <c r="C35" s="138"/>
      <c r="D35" s="127"/>
      <c r="E35" s="127"/>
      <c r="F35" s="127"/>
      <c r="G35" s="127"/>
      <c r="H35" s="127"/>
      <c r="I35" s="127"/>
      <c r="J35" s="127"/>
      <c r="K35" s="127"/>
      <c r="L35" s="127"/>
      <c r="M35" s="127"/>
      <c r="N35" s="127"/>
      <c r="O35" s="127"/>
      <c r="P35" s="127"/>
      <c r="Q35" s="127"/>
      <c r="R35" s="127"/>
      <c r="S35" s="127"/>
      <c r="T35" s="127"/>
      <c r="U35" s="127"/>
      <c r="V35" s="127"/>
      <c r="W35" s="120"/>
      <c r="X35" s="115"/>
      <c r="Y35" s="115"/>
      <c r="Z35" s="116"/>
      <c r="AA35" s="134"/>
      <c r="AB35" s="129"/>
      <c r="AC35" s="117"/>
      <c r="AD35" s="117"/>
      <c r="AE35" s="425"/>
      <c r="AF35" s="439"/>
    </row>
    <row r="36" spans="2:32" x14ac:dyDescent="0.25">
      <c r="B36" s="422"/>
      <c r="C36" s="138"/>
      <c r="D36" s="127"/>
      <c r="E36" s="127"/>
      <c r="F36" s="127"/>
      <c r="G36" s="127"/>
      <c r="H36" s="127"/>
      <c r="I36" s="127"/>
      <c r="J36" s="127"/>
      <c r="K36" s="127"/>
      <c r="L36" s="127"/>
      <c r="M36" s="127"/>
      <c r="N36" s="127"/>
      <c r="O36" s="127"/>
      <c r="P36" s="127"/>
      <c r="Q36" s="127"/>
      <c r="R36" s="127"/>
      <c r="S36" s="127"/>
      <c r="T36" s="127"/>
      <c r="U36" s="127"/>
      <c r="V36" s="127"/>
      <c r="W36" s="120"/>
      <c r="X36" s="115"/>
      <c r="Y36" s="115"/>
      <c r="Z36" s="116"/>
      <c r="AA36" s="134"/>
      <c r="AB36" s="129"/>
      <c r="AC36" s="117"/>
      <c r="AD36" s="117"/>
      <c r="AE36" s="425"/>
      <c r="AF36" s="439"/>
    </row>
    <row r="37" spans="2:32" ht="15.75" thickBot="1" x14ac:dyDescent="0.3">
      <c r="B37" s="422"/>
      <c r="C37" s="174"/>
      <c r="D37" s="175"/>
      <c r="E37" s="175"/>
      <c r="F37" s="175"/>
      <c r="G37" s="175"/>
      <c r="H37" s="175"/>
      <c r="I37" s="175"/>
      <c r="J37" s="175"/>
      <c r="K37" s="175"/>
      <c r="L37" s="175"/>
      <c r="M37" s="175"/>
      <c r="N37" s="175"/>
      <c r="O37" s="175"/>
      <c r="P37" s="175"/>
      <c r="Q37" s="175"/>
      <c r="R37" s="175"/>
      <c r="S37" s="175"/>
      <c r="T37" s="175"/>
      <c r="U37" s="175"/>
      <c r="V37" s="175"/>
      <c r="W37" s="176"/>
      <c r="X37" s="177"/>
      <c r="Y37" s="177"/>
      <c r="Z37" s="178"/>
      <c r="AA37" s="179"/>
      <c r="AB37" s="180"/>
      <c r="AC37" s="181"/>
      <c r="AD37" s="181"/>
      <c r="AE37" s="425"/>
      <c r="AF37" s="439"/>
    </row>
    <row r="38" spans="2:32" ht="25.5" customHeight="1" x14ac:dyDescent="0.25">
      <c r="B38" s="453">
        <v>7</v>
      </c>
      <c r="C38" s="451" t="s">
        <v>218</v>
      </c>
      <c r="D38" s="169" t="s">
        <v>155</v>
      </c>
      <c r="E38" s="184" t="s">
        <v>220</v>
      </c>
      <c r="F38" s="168" t="s">
        <v>86</v>
      </c>
      <c r="G38" s="169">
        <v>1</v>
      </c>
      <c r="H38" s="169">
        <v>0</v>
      </c>
      <c r="I38" s="169">
        <v>2</v>
      </c>
      <c r="J38" s="170">
        <v>4000000</v>
      </c>
      <c r="K38" s="171">
        <v>0</v>
      </c>
      <c r="L38" s="171">
        <v>1</v>
      </c>
      <c r="M38" s="171">
        <v>0</v>
      </c>
      <c r="N38" s="171">
        <v>0</v>
      </c>
      <c r="O38" s="171">
        <v>0</v>
      </c>
      <c r="P38" s="171">
        <v>0</v>
      </c>
      <c r="Q38" s="171">
        <v>0</v>
      </c>
      <c r="R38" s="171">
        <v>0</v>
      </c>
      <c r="S38" s="171">
        <v>0</v>
      </c>
      <c r="T38" s="171">
        <v>0</v>
      </c>
      <c r="U38" s="172" t="s">
        <v>222</v>
      </c>
      <c r="V38" s="173" t="s">
        <v>223</v>
      </c>
      <c r="W38" s="172" t="s">
        <v>5</v>
      </c>
      <c r="X38" s="172" t="s">
        <v>215</v>
      </c>
      <c r="Y38" s="172" t="s">
        <v>105</v>
      </c>
      <c r="Z38" s="173" t="s">
        <v>227</v>
      </c>
      <c r="AA38" s="172" t="s">
        <v>78</v>
      </c>
      <c r="AB38" s="172" t="s">
        <v>100</v>
      </c>
      <c r="AC38" s="172" t="s">
        <v>148</v>
      </c>
      <c r="AD38" s="172" t="s">
        <v>228</v>
      </c>
      <c r="AE38" s="455" t="s">
        <v>231</v>
      </c>
      <c r="AF38" s="448" t="s">
        <v>232</v>
      </c>
    </row>
    <row r="39" spans="2:32" ht="25.5" x14ac:dyDescent="0.25">
      <c r="B39" s="454"/>
      <c r="C39" s="452"/>
      <c r="D39" s="183">
        <v>44087</v>
      </c>
      <c r="E39" s="182" t="s">
        <v>221</v>
      </c>
      <c r="F39" s="158" t="s">
        <v>86</v>
      </c>
      <c r="G39" s="164"/>
      <c r="H39" s="164"/>
      <c r="I39" s="163"/>
      <c r="J39" s="165"/>
      <c r="K39" s="163"/>
      <c r="L39" s="163"/>
      <c r="M39" s="163"/>
      <c r="N39" s="163"/>
      <c r="O39" s="163"/>
      <c r="P39" s="163"/>
      <c r="Q39" s="163"/>
      <c r="R39" s="163"/>
      <c r="S39" s="163"/>
      <c r="T39" s="163"/>
      <c r="U39" s="159" t="s">
        <v>224</v>
      </c>
      <c r="V39" s="157" t="s">
        <v>225</v>
      </c>
      <c r="W39" s="159" t="s">
        <v>33</v>
      </c>
      <c r="X39" s="159" t="s">
        <v>216</v>
      </c>
      <c r="Y39" s="159" t="s">
        <v>35</v>
      </c>
      <c r="Z39" s="157" t="s">
        <v>229</v>
      </c>
      <c r="AA39" s="159" t="s">
        <v>20</v>
      </c>
      <c r="AB39" s="159" t="s">
        <v>21</v>
      </c>
      <c r="AC39" s="159"/>
      <c r="AD39" s="159" t="s">
        <v>11</v>
      </c>
      <c r="AE39" s="456"/>
      <c r="AF39" s="449"/>
    </row>
    <row r="40" spans="2:32" ht="25.5" x14ac:dyDescent="0.25">
      <c r="B40" s="454"/>
      <c r="C40" s="452"/>
      <c r="D40" s="162" t="s">
        <v>219</v>
      </c>
      <c r="E40" s="182"/>
      <c r="F40" s="166"/>
      <c r="G40" s="163"/>
      <c r="H40" s="163"/>
      <c r="I40" s="163"/>
      <c r="J40" s="163"/>
      <c r="K40" s="163"/>
      <c r="L40" s="163"/>
      <c r="M40" s="163"/>
      <c r="N40" s="163"/>
      <c r="O40" s="163"/>
      <c r="P40" s="163"/>
      <c r="Q40" s="163"/>
      <c r="R40" s="163"/>
      <c r="S40" s="163"/>
      <c r="T40" s="163"/>
      <c r="U40" s="159"/>
      <c r="V40" s="157" t="s">
        <v>226</v>
      </c>
      <c r="W40" s="159" t="s">
        <v>103</v>
      </c>
      <c r="X40" s="159" t="s">
        <v>217</v>
      </c>
      <c r="Y40" s="159" t="s">
        <v>35</v>
      </c>
      <c r="Z40" s="157" t="s">
        <v>230</v>
      </c>
      <c r="AA40" s="159" t="s">
        <v>20</v>
      </c>
      <c r="AB40" s="159" t="s">
        <v>113</v>
      </c>
      <c r="AC40" s="159"/>
      <c r="AD40" s="159"/>
      <c r="AE40" s="456"/>
      <c r="AF40" s="449"/>
    </row>
    <row r="41" spans="2:32" x14ac:dyDescent="0.25">
      <c r="B41" s="185"/>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456"/>
      <c r="AF41" s="449"/>
    </row>
    <row r="42" spans="2:32" x14ac:dyDescent="0.25">
      <c r="B42" s="185"/>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456"/>
      <c r="AF42" s="449"/>
    </row>
    <row r="43" spans="2:32" x14ac:dyDescent="0.25">
      <c r="B43" s="185"/>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456"/>
      <c r="AF43" s="449"/>
    </row>
    <row r="44" spans="2:32" ht="15.75" thickBot="1" x14ac:dyDescent="0.3">
      <c r="B44" s="186"/>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457"/>
      <c r="AF44" s="450"/>
    </row>
    <row r="45" spans="2:32" x14ac:dyDescent="0.25">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7"/>
    </row>
    <row r="46" spans="2:32" x14ac:dyDescent="0.25">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7"/>
    </row>
    <row r="47" spans="2:32" x14ac:dyDescent="0.25">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7"/>
    </row>
    <row r="48" spans="2:32" x14ac:dyDescent="0.25">
      <c r="AE48" s="160"/>
    </row>
  </sheetData>
  <mergeCells count="37">
    <mergeCell ref="AF38:AF44"/>
    <mergeCell ref="C38:C40"/>
    <mergeCell ref="B38:B40"/>
    <mergeCell ref="AE38:AE44"/>
    <mergeCell ref="G2:I3"/>
    <mergeCell ref="K2:L2"/>
    <mergeCell ref="M2:O2"/>
    <mergeCell ref="P2:T2"/>
    <mergeCell ref="U2:U4"/>
    <mergeCell ref="M3:M4"/>
    <mergeCell ref="N3:N4"/>
    <mergeCell ref="O3:O4"/>
    <mergeCell ref="P3:P4"/>
    <mergeCell ref="Q3:Q4"/>
    <mergeCell ref="W3:Y3"/>
    <mergeCell ref="AE27:AE31"/>
    <mergeCell ref="AA2:AA4"/>
    <mergeCell ref="AE22:AE26"/>
    <mergeCell ref="AF18:AF21"/>
    <mergeCell ref="AF22:AF26"/>
    <mergeCell ref="AF2:AF4"/>
    <mergeCell ref="AE2:AE4"/>
    <mergeCell ref="B32:B37"/>
    <mergeCell ref="C5:C7"/>
    <mergeCell ref="AE5:AE12"/>
    <mergeCell ref="AF5:AF12"/>
    <mergeCell ref="AE13:AE17"/>
    <mergeCell ref="AF13:AF17"/>
    <mergeCell ref="AE18:AE21"/>
    <mergeCell ref="B5:B12"/>
    <mergeCell ref="B13:B17"/>
    <mergeCell ref="B18:B21"/>
    <mergeCell ref="B22:B26"/>
    <mergeCell ref="B27:B31"/>
    <mergeCell ref="AF27:AF31"/>
    <mergeCell ref="AE32:AE37"/>
    <mergeCell ref="AF32:AF3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
  <sheetViews>
    <sheetView workbookViewId="0">
      <selection activeCell="B13" sqref="B13:H17"/>
    </sheetView>
  </sheetViews>
  <sheetFormatPr defaultRowHeight="15" x14ac:dyDescent="0.25"/>
  <cols>
    <col min="3" max="3" width="12.28515625" customWidth="1"/>
    <col min="4" max="4" width="14.42578125" customWidth="1"/>
    <col min="5" max="5" width="7.7109375" customWidth="1"/>
    <col min="6" max="6" width="6.85546875" customWidth="1"/>
    <col min="7" max="7" width="14.5703125" customWidth="1"/>
    <col min="8" max="8" width="13.140625" customWidth="1"/>
    <col min="9" max="9" width="11.42578125" customWidth="1"/>
    <col min="10" max="10" width="13.42578125" customWidth="1"/>
  </cols>
  <sheetData>
    <row r="2" spans="2:16" ht="15.75" thickBot="1" x14ac:dyDescent="0.3">
      <c r="B2" s="314" t="s">
        <v>363</v>
      </c>
    </row>
    <row r="3" spans="2:16" ht="34.5" customHeight="1" thickBot="1" x14ac:dyDescent="0.3">
      <c r="N3" s="243" t="s">
        <v>292</v>
      </c>
      <c r="O3" s="244" t="s">
        <v>293</v>
      </c>
      <c r="P3" s="244" t="s">
        <v>294</v>
      </c>
    </row>
    <row r="4" spans="2:16" ht="15.75" thickBot="1" x14ac:dyDescent="0.3">
      <c r="B4" s="572" t="s">
        <v>291</v>
      </c>
      <c r="C4" s="573"/>
      <c r="D4" s="573"/>
      <c r="E4" s="573"/>
      <c r="F4" s="573"/>
      <c r="G4" s="573"/>
      <c r="H4" s="574"/>
      <c r="N4" s="245">
        <v>30</v>
      </c>
      <c r="O4" s="246">
        <v>0.4</v>
      </c>
      <c r="P4" s="246" t="s">
        <v>295</v>
      </c>
    </row>
    <row r="5" spans="2:16" ht="15.75" thickBot="1" x14ac:dyDescent="0.3">
      <c r="B5" s="575" t="s">
        <v>186</v>
      </c>
      <c r="C5" s="577" t="s">
        <v>247</v>
      </c>
      <c r="D5" s="579" t="s">
        <v>416</v>
      </c>
      <c r="E5" s="581" t="s">
        <v>289</v>
      </c>
      <c r="F5" s="583" t="s">
        <v>294</v>
      </c>
      <c r="G5" s="583" t="s">
        <v>415</v>
      </c>
      <c r="H5" s="585" t="s">
        <v>441</v>
      </c>
      <c r="N5" s="245">
        <v>40</v>
      </c>
      <c r="O5" s="246">
        <v>0.375</v>
      </c>
      <c r="P5" s="246" t="s">
        <v>296</v>
      </c>
    </row>
    <row r="6" spans="2:16" ht="15.75" thickBot="1" x14ac:dyDescent="0.3">
      <c r="B6" s="576"/>
      <c r="C6" s="578"/>
      <c r="D6" s="580"/>
      <c r="E6" s="582"/>
      <c r="F6" s="584"/>
      <c r="G6" s="584"/>
      <c r="H6" s="586"/>
      <c r="N6" s="245">
        <v>50</v>
      </c>
      <c r="O6" s="246">
        <v>0.35</v>
      </c>
      <c r="P6" s="246" t="s">
        <v>297</v>
      </c>
    </row>
    <row r="7" spans="2:16" ht="15.75" thickBot="1" x14ac:dyDescent="0.3">
      <c r="B7" s="248">
        <v>1</v>
      </c>
      <c r="C7" s="249" t="s">
        <v>290</v>
      </c>
      <c r="D7" s="220">
        <v>57</v>
      </c>
      <c r="E7" s="190">
        <v>0.375</v>
      </c>
      <c r="F7" s="569" t="s">
        <v>414</v>
      </c>
      <c r="G7" s="566">
        <v>40</v>
      </c>
      <c r="H7" s="271">
        <v>73.73</v>
      </c>
      <c r="I7" s="315">
        <f>(0.278*57*2.5)</f>
        <v>39.615000000000002</v>
      </c>
      <c r="J7" s="315">
        <f>(57^2)/(254*0.375)</f>
        <v>34.110236220472444</v>
      </c>
      <c r="K7" s="315">
        <f>I7+J7</f>
        <v>73.725236220472453</v>
      </c>
      <c r="N7" s="245">
        <v>60</v>
      </c>
      <c r="O7" s="246">
        <v>0.33</v>
      </c>
      <c r="P7" s="246" t="s">
        <v>298</v>
      </c>
    </row>
    <row r="8" spans="2:16" ht="15.75" thickBot="1" x14ac:dyDescent="0.3">
      <c r="B8" s="191">
        <v>2</v>
      </c>
      <c r="C8" s="223" t="s">
        <v>245</v>
      </c>
      <c r="D8" s="214">
        <v>50</v>
      </c>
      <c r="E8" s="331">
        <v>0.375</v>
      </c>
      <c r="F8" s="570"/>
      <c r="G8" s="567"/>
      <c r="H8" s="272">
        <v>61</v>
      </c>
      <c r="I8" s="315">
        <f>(0.278*50*2.5)</f>
        <v>34.750000000000007</v>
      </c>
      <c r="J8" s="315">
        <f>(50^2)/(254*0.375)</f>
        <v>26.246719160104988</v>
      </c>
      <c r="K8" s="315">
        <f>SUM(I8:J8)</f>
        <v>60.996719160104995</v>
      </c>
      <c r="N8" s="245">
        <v>70</v>
      </c>
      <c r="O8" s="246">
        <v>0.313</v>
      </c>
      <c r="P8" s="246" t="s">
        <v>299</v>
      </c>
    </row>
    <row r="9" spans="2:16" ht="15.75" thickBot="1" x14ac:dyDescent="0.3">
      <c r="B9" s="193">
        <v>3</v>
      </c>
      <c r="C9" s="224" t="s">
        <v>246</v>
      </c>
      <c r="D9" s="217">
        <v>49</v>
      </c>
      <c r="E9" s="194">
        <v>0.375</v>
      </c>
      <c r="F9" s="571"/>
      <c r="G9" s="568"/>
      <c r="H9" s="273">
        <v>59.26</v>
      </c>
      <c r="I9" s="315">
        <f>(0.278*49*2.5)</f>
        <v>34.055000000000007</v>
      </c>
      <c r="J9" s="315">
        <f>(49^2)/(254*0.375)</f>
        <v>25.207349081364828</v>
      </c>
      <c r="K9" s="315">
        <f>SUM(I9+J9)</f>
        <v>59.262349081364832</v>
      </c>
      <c r="N9" s="245">
        <v>80</v>
      </c>
      <c r="O9" s="246">
        <v>0.3</v>
      </c>
      <c r="P9" s="246" t="s">
        <v>300</v>
      </c>
    </row>
    <row r="10" spans="2:16" ht="15.75" thickBot="1" x14ac:dyDescent="0.3">
      <c r="G10" s="315"/>
      <c r="H10" s="315"/>
      <c r="I10" s="315"/>
      <c r="N10" s="245">
        <v>100</v>
      </c>
      <c r="O10" s="246">
        <v>0.28499999999999998</v>
      </c>
      <c r="P10" s="246" t="s">
        <v>301</v>
      </c>
    </row>
    <row r="11" spans="2:16" ht="15.75" thickBot="1" x14ac:dyDescent="0.3">
      <c r="G11" s="315"/>
      <c r="H11" s="315"/>
      <c r="I11" s="315"/>
      <c r="N11" s="245">
        <v>120</v>
      </c>
      <c r="O11" s="246">
        <v>0.28000000000000003</v>
      </c>
      <c r="P11" s="246" t="s">
        <v>302</v>
      </c>
    </row>
    <row r="12" spans="2:16" ht="15.75" thickBot="1" x14ac:dyDescent="0.3">
      <c r="B12" s="572" t="s">
        <v>291</v>
      </c>
      <c r="C12" s="573"/>
      <c r="D12" s="573"/>
      <c r="E12" s="573"/>
      <c r="F12" s="573"/>
      <c r="G12" s="573"/>
      <c r="H12" s="574"/>
      <c r="I12" s="315"/>
      <c r="N12" s="247" t="s">
        <v>303</v>
      </c>
    </row>
    <row r="13" spans="2:16" x14ac:dyDescent="0.25">
      <c r="B13" s="575" t="s">
        <v>186</v>
      </c>
      <c r="C13" s="577" t="s">
        <v>247</v>
      </c>
      <c r="D13" s="579" t="s">
        <v>416</v>
      </c>
      <c r="E13" s="581" t="s">
        <v>289</v>
      </c>
      <c r="F13" s="583" t="s">
        <v>294</v>
      </c>
      <c r="G13" s="583" t="s">
        <v>415</v>
      </c>
      <c r="H13" s="585" t="s">
        <v>441</v>
      </c>
      <c r="I13" s="315"/>
    </row>
    <row r="14" spans="2:16" ht="15.75" thickBot="1" x14ac:dyDescent="0.3">
      <c r="B14" s="576"/>
      <c r="C14" s="578"/>
      <c r="D14" s="580"/>
      <c r="E14" s="582"/>
      <c r="F14" s="584"/>
      <c r="G14" s="584"/>
      <c r="H14" s="586"/>
      <c r="I14" s="315">
        <f>(0.278*58*2.5)</f>
        <v>40.31</v>
      </c>
      <c r="J14" s="315">
        <f>(58^2)/(254*0.375)</f>
        <v>35.317585301837269</v>
      </c>
      <c r="K14" s="315">
        <f>SUM(I14+J14)</f>
        <v>75.627585301837271</v>
      </c>
    </row>
    <row r="15" spans="2:16" ht="15" customHeight="1" x14ac:dyDescent="0.25">
      <c r="B15" s="248">
        <v>1</v>
      </c>
      <c r="C15" s="249" t="s">
        <v>290</v>
      </c>
      <c r="D15" s="220">
        <v>58</v>
      </c>
      <c r="E15" s="190">
        <v>0.375</v>
      </c>
      <c r="F15" s="569" t="s">
        <v>414</v>
      </c>
      <c r="G15" s="566">
        <v>40</v>
      </c>
      <c r="H15" s="271">
        <v>75.63</v>
      </c>
      <c r="I15" s="315">
        <f>(0.278*57*2.5)</f>
        <v>39.615000000000002</v>
      </c>
      <c r="J15" s="315">
        <f>(57^2)/(254*0.375)</f>
        <v>34.110236220472444</v>
      </c>
      <c r="K15" s="315">
        <f>SUM(I15+J15)</f>
        <v>73.725236220472453</v>
      </c>
    </row>
    <row r="16" spans="2:16" x14ac:dyDescent="0.25">
      <c r="B16" s="191">
        <v>2</v>
      </c>
      <c r="C16" s="223" t="s">
        <v>245</v>
      </c>
      <c r="D16" s="214">
        <v>57</v>
      </c>
      <c r="E16" s="331">
        <v>0.375</v>
      </c>
      <c r="F16" s="570"/>
      <c r="G16" s="567"/>
      <c r="H16" s="272">
        <v>73.73</v>
      </c>
      <c r="I16" s="315">
        <f>+(0.278*47*2.5)</f>
        <v>32.664999999999999</v>
      </c>
      <c r="J16" s="315">
        <f>(47^2)/(254*0.375)</f>
        <v>23.191601049868765</v>
      </c>
      <c r="K16" s="315">
        <f>SUM(I16+J16)</f>
        <v>55.856601049868765</v>
      </c>
    </row>
    <row r="17" spans="2:8" ht="15.75" thickBot="1" x14ac:dyDescent="0.3">
      <c r="B17" s="193">
        <v>3</v>
      </c>
      <c r="C17" s="224" t="s">
        <v>246</v>
      </c>
      <c r="D17" s="217">
        <v>47</v>
      </c>
      <c r="E17" s="194">
        <v>0.375</v>
      </c>
      <c r="F17" s="571"/>
      <c r="G17" s="568"/>
      <c r="H17" s="273">
        <v>55.86</v>
      </c>
    </row>
    <row r="19" spans="2:8" ht="15" customHeight="1" x14ac:dyDescent="0.25"/>
  </sheetData>
  <mergeCells count="20">
    <mergeCell ref="F15:F17"/>
    <mergeCell ref="G15:G17"/>
    <mergeCell ref="G7:G9"/>
    <mergeCell ref="F7:F9"/>
    <mergeCell ref="B12:H12"/>
    <mergeCell ref="B13:B14"/>
    <mergeCell ref="C13:C14"/>
    <mergeCell ref="D13:D14"/>
    <mergeCell ref="E13:E14"/>
    <mergeCell ref="F13:F14"/>
    <mergeCell ref="G13:G14"/>
    <mergeCell ref="H13:H14"/>
    <mergeCell ref="B4:H4"/>
    <mergeCell ref="B5:B6"/>
    <mergeCell ref="C5:C6"/>
    <mergeCell ref="G5:G6"/>
    <mergeCell ref="E5:E6"/>
    <mergeCell ref="F5:F6"/>
    <mergeCell ref="D5:D6"/>
    <mergeCell ref="H5:H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2"/>
  <sheetViews>
    <sheetView topLeftCell="A4" workbookViewId="0">
      <selection activeCell="B11" sqref="B11:F16"/>
    </sheetView>
  </sheetViews>
  <sheetFormatPr defaultRowHeight="15" x14ac:dyDescent="0.25"/>
  <cols>
    <col min="2" max="2" width="14.140625" customWidth="1"/>
    <col min="3" max="3" width="13.28515625" customWidth="1"/>
    <col min="4" max="4" width="11.28515625" customWidth="1"/>
    <col min="5" max="5" width="12.28515625" customWidth="1"/>
    <col min="6" max="6" width="11.7109375" customWidth="1"/>
    <col min="12" max="12" width="10.5703125" bestFit="1" customWidth="1"/>
  </cols>
  <sheetData>
    <row r="1" spans="2:12" ht="15.75" thickBot="1" x14ac:dyDescent="0.3"/>
    <row r="2" spans="2:12" ht="15.75" thickBot="1" x14ac:dyDescent="0.3">
      <c r="B2" s="484" t="s">
        <v>369</v>
      </c>
      <c r="C2" s="485"/>
      <c r="D2" s="485"/>
      <c r="E2" s="485"/>
      <c r="F2" s="486"/>
    </row>
    <row r="3" spans="2:12" ht="15.75" thickBot="1" x14ac:dyDescent="0.3">
      <c r="B3" s="587" t="s">
        <v>442</v>
      </c>
      <c r="C3" s="588"/>
      <c r="D3" s="588"/>
      <c r="E3" s="588"/>
      <c r="F3" s="589"/>
      <c r="L3" s="371"/>
    </row>
    <row r="4" spans="2:12" x14ac:dyDescent="0.25">
      <c r="B4" s="594" t="s">
        <v>364</v>
      </c>
      <c r="C4" s="590" t="s">
        <v>366</v>
      </c>
      <c r="D4" s="590" t="s">
        <v>368</v>
      </c>
      <c r="E4" s="590" t="s">
        <v>365</v>
      </c>
      <c r="F4" s="592" t="s">
        <v>367</v>
      </c>
    </row>
    <row r="5" spans="2:12" ht="15.75" thickBot="1" x14ac:dyDescent="0.3">
      <c r="B5" s="595"/>
      <c r="C5" s="591"/>
      <c r="D5" s="591"/>
      <c r="E5" s="591"/>
      <c r="F5" s="593"/>
    </row>
    <row r="6" spans="2:12" x14ac:dyDescent="0.25">
      <c r="B6" s="219" t="s">
        <v>249</v>
      </c>
      <c r="C6" s="220">
        <v>60</v>
      </c>
      <c r="D6" s="220" t="s">
        <v>435</v>
      </c>
      <c r="E6" s="566">
        <v>40</v>
      </c>
      <c r="F6" s="600">
        <v>200</v>
      </c>
    </row>
    <row r="7" spans="2:12" x14ac:dyDescent="0.25">
      <c r="B7" s="213" t="s">
        <v>245</v>
      </c>
      <c r="C7" s="214">
        <v>60</v>
      </c>
      <c r="D7" s="220" t="s">
        <v>436</v>
      </c>
      <c r="E7" s="567"/>
      <c r="F7" s="546"/>
    </row>
    <row r="8" spans="2:12" ht="15.75" thickBot="1" x14ac:dyDescent="0.3">
      <c r="B8" s="216" t="s">
        <v>246</v>
      </c>
      <c r="C8" s="217">
        <v>49</v>
      </c>
      <c r="D8" s="217" t="s">
        <v>437</v>
      </c>
      <c r="E8" s="568"/>
      <c r="F8" s="547"/>
    </row>
    <row r="9" spans="2:12" ht="15.75" thickBot="1" x14ac:dyDescent="0.3"/>
    <row r="10" spans="2:12" ht="15.75" thickBot="1" x14ac:dyDescent="0.3">
      <c r="B10" s="484" t="s">
        <v>351</v>
      </c>
      <c r="C10" s="485"/>
      <c r="D10" s="485"/>
      <c r="E10" s="485"/>
      <c r="F10" s="486"/>
    </row>
    <row r="11" spans="2:12" ht="15.75" thickBot="1" x14ac:dyDescent="0.3">
      <c r="B11" s="587" t="s">
        <v>442</v>
      </c>
      <c r="C11" s="588"/>
      <c r="D11" s="588"/>
      <c r="E11" s="588"/>
      <c r="F11" s="589"/>
    </row>
    <row r="12" spans="2:12" x14ac:dyDescent="0.25">
      <c r="B12" s="432" t="s">
        <v>364</v>
      </c>
      <c r="C12" s="590" t="s">
        <v>366</v>
      </c>
      <c r="D12" s="590" t="s">
        <v>368</v>
      </c>
      <c r="E12" s="590" t="s">
        <v>365</v>
      </c>
      <c r="F12" s="592" t="s">
        <v>367</v>
      </c>
    </row>
    <row r="13" spans="2:12" ht="15.75" thickBot="1" x14ac:dyDescent="0.3">
      <c r="B13" s="434"/>
      <c r="C13" s="591"/>
      <c r="D13" s="591"/>
      <c r="E13" s="591"/>
      <c r="F13" s="593"/>
    </row>
    <row r="14" spans="2:12" x14ac:dyDescent="0.25">
      <c r="B14" s="219" t="s">
        <v>249</v>
      </c>
      <c r="C14" s="220">
        <v>58</v>
      </c>
      <c r="D14" s="220" t="s">
        <v>438</v>
      </c>
      <c r="E14" s="566">
        <v>40</v>
      </c>
      <c r="F14" s="600">
        <v>200</v>
      </c>
    </row>
    <row r="15" spans="2:12" x14ac:dyDescent="0.25">
      <c r="B15" s="213" t="s">
        <v>245</v>
      </c>
      <c r="C15" s="214">
        <v>57</v>
      </c>
      <c r="D15" s="214" t="s">
        <v>439</v>
      </c>
      <c r="E15" s="567"/>
      <c r="F15" s="546"/>
    </row>
    <row r="16" spans="2:12" ht="15.75" thickBot="1" x14ac:dyDescent="0.3">
      <c r="B16" s="216" t="s">
        <v>246</v>
      </c>
      <c r="C16" s="217">
        <v>47</v>
      </c>
      <c r="D16" s="217" t="s">
        <v>440</v>
      </c>
      <c r="E16" s="568"/>
      <c r="F16" s="547"/>
    </row>
    <row r="17" spans="2:8" ht="15.75" thickBot="1" x14ac:dyDescent="0.3"/>
    <row r="18" spans="2:8" ht="15.75" thickBot="1" x14ac:dyDescent="0.3">
      <c r="B18" s="597" t="s">
        <v>392</v>
      </c>
      <c r="C18" s="598"/>
      <c r="D18" s="598"/>
      <c r="E18" s="598"/>
      <c r="F18" s="598"/>
      <c r="G18" s="598"/>
      <c r="H18" s="599"/>
    </row>
    <row r="19" spans="2:8" ht="15.75" thickBot="1" x14ac:dyDescent="0.3">
      <c r="B19" s="324" t="s">
        <v>393</v>
      </c>
      <c r="C19" s="325">
        <v>80</v>
      </c>
      <c r="D19" s="326">
        <v>60</v>
      </c>
      <c r="E19" s="326">
        <v>50</v>
      </c>
      <c r="F19" s="326">
        <v>40</v>
      </c>
      <c r="G19" s="326">
        <v>30</v>
      </c>
      <c r="H19" s="327">
        <v>20</v>
      </c>
    </row>
    <row r="20" spans="2:8" x14ac:dyDescent="0.25">
      <c r="B20" s="322" t="s">
        <v>394</v>
      </c>
      <c r="C20" s="220">
        <v>550</v>
      </c>
      <c r="D20" s="220">
        <v>350</v>
      </c>
      <c r="E20" s="220">
        <v>250</v>
      </c>
      <c r="F20" s="220">
        <v>200</v>
      </c>
      <c r="G20" s="220">
        <v>150</v>
      </c>
      <c r="H20" s="221">
        <v>100</v>
      </c>
    </row>
    <row r="21" spans="2:8" ht="15.75" thickBot="1" x14ac:dyDescent="0.3">
      <c r="B21" s="323" t="s">
        <v>395</v>
      </c>
      <c r="C21" s="217">
        <v>350</v>
      </c>
      <c r="D21" s="217">
        <v>250</v>
      </c>
      <c r="E21" s="217">
        <v>200</v>
      </c>
      <c r="F21" s="217">
        <v>150</v>
      </c>
      <c r="G21" s="217">
        <v>100</v>
      </c>
      <c r="H21" s="218">
        <v>70</v>
      </c>
    </row>
    <row r="22" spans="2:8" x14ac:dyDescent="0.25">
      <c r="B22" s="596" t="s">
        <v>418</v>
      </c>
      <c r="C22" s="596"/>
      <c r="D22" s="596"/>
      <c r="E22" s="596"/>
      <c r="F22" s="596"/>
      <c r="G22" s="596"/>
      <c r="H22" s="596"/>
    </row>
  </sheetData>
  <mergeCells count="20">
    <mergeCell ref="B22:H22"/>
    <mergeCell ref="B18:H18"/>
    <mergeCell ref="E14:E16"/>
    <mergeCell ref="F14:F16"/>
    <mergeCell ref="E6:E8"/>
    <mergeCell ref="F6:F8"/>
    <mergeCell ref="B2:F2"/>
    <mergeCell ref="B10:F10"/>
    <mergeCell ref="B11:F11"/>
    <mergeCell ref="B12:B13"/>
    <mergeCell ref="C12:C13"/>
    <mergeCell ref="D12:D13"/>
    <mergeCell ref="E12:E13"/>
    <mergeCell ref="F12:F13"/>
    <mergeCell ref="C4:C5"/>
    <mergeCell ref="E4:E5"/>
    <mergeCell ref="D4:D5"/>
    <mergeCell ref="F4:F5"/>
    <mergeCell ref="B4:B5"/>
    <mergeCell ref="B3:F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9"/>
  <sheetViews>
    <sheetView topLeftCell="A4" workbookViewId="0">
      <selection activeCell="B3" sqref="B3:K29"/>
    </sheetView>
  </sheetViews>
  <sheetFormatPr defaultRowHeight="15" x14ac:dyDescent="0.25"/>
  <cols>
    <col min="2" max="2" width="4" customWidth="1"/>
    <col min="3" max="3" width="9.85546875" customWidth="1"/>
    <col min="4" max="4" width="9.7109375" customWidth="1"/>
    <col min="5" max="5" width="11.42578125" customWidth="1"/>
    <col min="6" max="6" width="5.42578125" customWidth="1"/>
    <col min="7" max="7" width="6.42578125" customWidth="1"/>
    <col min="8" max="8" width="12.42578125" customWidth="1"/>
    <col min="9" max="9" width="5.85546875" customWidth="1"/>
    <col min="10" max="10" width="7.140625" customWidth="1"/>
    <col min="11" max="11" width="10.28515625" customWidth="1"/>
  </cols>
  <sheetData>
    <row r="2" spans="2:11" ht="15.75" thickBot="1" x14ac:dyDescent="0.3"/>
    <row r="3" spans="2:11" x14ac:dyDescent="0.25">
      <c r="B3" s="615" t="s">
        <v>186</v>
      </c>
      <c r="C3" s="618" t="s">
        <v>277</v>
      </c>
      <c r="D3" s="606" t="s">
        <v>273</v>
      </c>
      <c r="E3" s="606" t="s">
        <v>269</v>
      </c>
      <c r="F3" s="606" t="s">
        <v>270</v>
      </c>
      <c r="G3" s="606"/>
      <c r="H3" s="606"/>
      <c r="I3" s="606"/>
      <c r="J3" s="606"/>
      <c r="K3" s="607"/>
    </row>
    <row r="4" spans="2:11" ht="15" customHeight="1" x14ac:dyDescent="0.25">
      <c r="B4" s="616"/>
      <c r="C4" s="619"/>
      <c r="D4" s="613"/>
      <c r="E4" s="613"/>
      <c r="F4" s="619" t="s">
        <v>271</v>
      </c>
      <c r="G4" s="619" t="s">
        <v>274</v>
      </c>
      <c r="H4" s="619" t="s">
        <v>275</v>
      </c>
      <c r="I4" s="619" t="s">
        <v>276</v>
      </c>
      <c r="J4" s="619" t="s">
        <v>272</v>
      </c>
      <c r="K4" s="604" t="s">
        <v>278</v>
      </c>
    </row>
    <row r="5" spans="2:11" ht="15.75" thickBot="1" x14ac:dyDescent="0.3">
      <c r="B5" s="617"/>
      <c r="C5" s="620"/>
      <c r="D5" s="614"/>
      <c r="E5" s="614"/>
      <c r="F5" s="620"/>
      <c r="G5" s="620"/>
      <c r="H5" s="620"/>
      <c r="I5" s="620"/>
      <c r="J5" s="620"/>
      <c r="K5" s="605"/>
    </row>
    <row r="6" spans="2:11" ht="22.5" x14ac:dyDescent="0.25">
      <c r="B6" s="608">
        <v>1</v>
      </c>
      <c r="C6" s="601" t="s">
        <v>281</v>
      </c>
      <c r="D6" s="339" t="s">
        <v>4</v>
      </c>
      <c r="E6" s="339"/>
      <c r="F6" s="225" t="s">
        <v>280</v>
      </c>
      <c r="G6" s="225" t="s">
        <v>280</v>
      </c>
      <c r="H6" s="225" t="s">
        <v>280</v>
      </c>
      <c r="I6" s="225" t="s">
        <v>280</v>
      </c>
      <c r="J6" s="225" t="s">
        <v>279</v>
      </c>
      <c r="K6" s="340" t="s">
        <v>279</v>
      </c>
    </row>
    <row r="7" spans="2:11" x14ac:dyDescent="0.25">
      <c r="B7" s="609"/>
      <c r="C7" s="602"/>
      <c r="D7" s="341"/>
      <c r="E7" s="342" t="s">
        <v>16</v>
      </c>
      <c r="F7" s="343" t="s">
        <v>280</v>
      </c>
      <c r="G7" s="343" t="s">
        <v>280</v>
      </c>
      <c r="H7" s="343" t="s">
        <v>280</v>
      </c>
      <c r="I7" s="343" t="s">
        <v>280</v>
      </c>
      <c r="J7" s="343" t="s">
        <v>280</v>
      </c>
      <c r="K7" s="344" t="s">
        <v>280</v>
      </c>
    </row>
    <row r="8" spans="2:11" ht="16.5" customHeight="1" x14ac:dyDescent="0.25">
      <c r="B8" s="609"/>
      <c r="C8" s="602"/>
      <c r="D8" s="341"/>
      <c r="E8" s="342" t="s">
        <v>25</v>
      </c>
      <c r="F8" s="343" t="s">
        <v>280</v>
      </c>
      <c r="G8" s="343" t="s">
        <v>280</v>
      </c>
      <c r="H8" s="343" t="s">
        <v>280</v>
      </c>
      <c r="I8" s="343" t="s">
        <v>280</v>
      </c>
      <c r="J8" s="343" t="s">
        <v>280</v>
      </c>
      <c r="K8" s="344" t="s">
        <v>280</v>
      </c>
    </row>
    <row r="9" spans="2:11" ht="23.25" customHeight="1" x14ac:dyDescent="0.25">
      <c r="B9" s="609"/>
      <c r="C9" s="602"/>
      <c r="D9" s="341"/>
      <c r="E9" s="342" t="s">
        <v>32</v>
      </c>
      <c r="F9" s="343" t="s">
        <v>280</v>
      </c>
      <c r="G9" s="343" t="s">
        <v>280</v>
      </c>
      <c r="H9" s="343" t="s">
        <v>280</v>
      </c>
      <c r="I9" s="343" t="s">
        <v>280</v>
      </c>
      <c r="J9" s="343" t="s">
        <v>280</v>
      </c>
      <c r="K9" s="344" t="s">
        <v>280</v>
      </c>
    </row>
    <row r="10" spans="2:11" x14ac:dyDescent="0.25">
      <c r="B10" s="609"/>
      <c r="C10" s="602"/>
      <c r="D10" s="341"/>
      <c r="E10" s="342" t="s">
        <v>37</v>
      </c>
      <c r="F10" s="343" t="s">
        <v>280</v>
      </c>
      <c r="G10" s="343" t="s">
        <v>280</v>
      </c>
      <c r="H10" s="343" t="s">
        <v>280</v>
      </c>
      <c r="I10" s="343" t="s">
        <v>280</v>
      </c>
      <c r="J10" s="343" t="s">
        <v>280</v>
      </c>
      <c r="K10" s="344" t="s">
        <v>280</v>
      </c>
    </row>
    <row r="11" spans="2:11" ht="21.75" customHeight="1" x14ac:dyDescent="0.25">
      <c r="B11" s="609"/>
      <c r="C11" s="602"/>
      <c r="D11" s="341"/>
      <c r="E11" s="342" t="s">
        <v>41</v>
      </c>
      <c r="F11" s="343" t="s">
        <v>280</v>
      </c>
      <c r="G11" s="343" t="s">
        <v>280</v>
      </c>
      <c r="H11" s="343" t="s">
        <v>280</v>
      </c>
      <c r="I11" s="343" t="s">
        <v>280</v>
      </c>
      <c r="J11" s="343" t="s">
        <v>280</v>
      </c>
      <c r="K11" s="344" t="s">
        <v>280</v>
      </c>
    </row>
    <row r="12" spans="2:11" ht="15.75" thickBot="1" x14ac:dyDescent="0.3">
      <c r="B12" s="610"/>
      <c r="C12" s="603"/>
      <c r="D12" s="345"/>
      <c r="E12" s="346" t="s">
        <v>46</v>
      </c>
      <c r="F12" s="347" t="s">
        <v>280</v>
      </c>
      <c r="G12" s="347" t="s">
        <v>280</v>
      </c>
      <c r="H12" s="347" t="s">
        <v>280</v>
      </c>
      <c r="I12" s="347" t="s">
        <v>280</v>
      </c>
      <c r="J12" s="347" t="s">
        <v>280</v>
      </c>
      <c r="K12" s="348" t="s">
        <v>280</v>
      </c>
    </row>
    <row r="13" spans="2:11" x14ac:dyDescent="0.25">
      <c r="B13" s="608">
        <v>2</v>
      </c>
      <c r="C13" s="611" t="s">
        <v>282</v>
      </c>
      <c r="D13" s="339" t="s">
        <v>88</v>
      </c>
      <c r="E13" s="339"/>
      <c r="F13" s="225" t="s">
        <v>280</v>
      </c>
      <c r="G13" s="225" t="s">
        <v>280</v>
      </c>
      <c r="H13" s="225" t="s">
        <v>279</v>
      </c>
      <c r="I13" s="225" t="s">
        <v>280</v>
      </c>
      <c r="J13" s="225" t="s">
        <v>280</v>
      </c>
      <c r="K13" s="340" t="s">
        <v>280</v>
      </c>
    </row>
    <row r="14" spans="2:11" ht="24" customHeight="1" x14ac:dyDescent="0.25">
      <c r="B14" s="609"/>
      <c r="C14" s="612"/>
      <c r="D14" s="341" t="s">
        <v>95</v>
      </c>
      <c r="E14" s="341"/>
      <c r="F14" s="226" t="s">
        <v>280</v>
      </c>
      <c r="G14" s="226" t="s">
        <v>280</v>
      </c>
      <c r="H14" s="226" t="s">
        <v>279</v>
      </c>
      <c r="I14" s="226" t="s">
        <v>280</v>
      </c>
      <c r="J14" s="226" t="s">
        <v>280</v>
      </c>
      <c r="K14" s="227" t="s">
        <v>280</v>
      </c>
    </row>
    <row r="15" spans="2:11" ht="33" x14ac:dyDescent="0.25">
      <c r="B15" s="609"/>
      <c r="C15" s="612"/>
      <c r="D15" s="341"/>
      <c r="E15" s="341" t="s">
        <v>92</v>
      </c>
      <c r="F15" s="226" t="s">
        <v>280</v>
      </c>
      <c r="G15" s="226" t="s">
        <v>280</v>
      </c>
      <c r="H15" s="226" t="s">
        <v>280</v>
      </c>
      <c r="I15" s="226" t="s">
        <v>280</v>
      </c>
      <c r="J15" s="226" t="s">
        <v>280</v>
      </c>
      <c r="K15" s="227" t="s">
        <v>280</v>
      </c>
    </row>
    <row r="16" spans="2:11" x14ac:dyDescent="0.25">
      <c r="B16" s="609"/>
      <c r="C16" s="612"/>
      <c r="D16" s="341"/>
      <c r="E16" s="342" t="s">
        <v>96</v>
      </c>
      <c r="F16" s="226" t="s">
        <v>280</v>
      </c>
      <c r="G16" s="226" t="s">
        <v>280</v>
      </c>
      <c r="H16" s="226" t="s">
        <v>280</v>
      </c>
      <c r="I16" s="226" t="s">
        <v>280</v>
      </c>
      <c r="J16" s="226" t="s">
        <v>280</v>
      </c>
      <c r="K16" s="227" t="s">
        <v>280</v>
      </c>
    </row>
    <row r="17" spans="2:11" ht="15.75" thickBot="1" x14ac:dyDescent="0.3">
      <c r="B17" s="609"/>
      <c r="C17" s="612"/>
      <c r="D17" s="349"/>
      <c r="E17" s="350" t="s">
        <v>97</v>
      </c>
      <c r="F17" s="228" t="s">
        <v>280</v>
      </c>
      <c r="G17" s="228" t="s">
        <v>280</v>
      </c>
      <c r="H17" s="228" t="s">
        <v>280</v>
      </c>
      <c r="I17" s="228" t="s">
        <v>280</v>
      </c>
      <c r="J17" s="228" t="s">
        <v>280</v>
      </c>
      <c r="K17" s="229" t="s">
        <v>280</v>
      </c>
    </row>
    <row r="18" spans="2:11" ht="23.25" customHeight="1" x14ac:dyDescent="0.25">
      <c r="B18" s="624">
        <v>3</v>
      </c>
      <c r="C18" s="601" t="s">
        <v>283</v>
      </c>
      <c r="D18" s="230" t="s">
        <v>284</v>
      </c>
      <c r="E18" s="351"/>
      <c r="F18" s="230" t="s">
        <v>280</v>
      </c>
      <c r="G18" s="230" t="s">
        <v>280</v>
      </c>
      <c r="H18" s="230" t="s">
        <v>279</v>
      </c>
      <c r="I18" s="230" t="s">
        <v>280</v>
      </c>
      <c r="J18" s="230" t="s">
        <v>279</v>
      </c>
      <c r="K18" s="231" t="s">
        <v>280</v>
      </c>
    </row>
    <row r="19" spans="2:11" ht="30" customHeight="1" thickBot="1" x14ac:dyDescent="0.3">
      <c r="B19" s="625"/>
      <c r="C19" s="603"/>
      <c r="D19" s="352"/>
      <c r="E19" s="353" t="s">
        <v>120</v>
      </c>
      <c r="F19" s="232" t="s">
        <v>280</v>
      </c>
      <c r="G19" s="232" t="s">
        <v>280</v>
      </c>
      <c r="H19" s="232" t="s">
        <v>280</v>
      </c>
      <c r="I19" s="232" t="s">
        <v>280</v>
      </c>
      <c r="J19" s="232" t="s">
        <v>279</v>
      </c>
      <c r="K19" s="233" t="s">
        <v>280</v>
      </c>
    </row>
    <row r="20" spans="2:11" ht="19.5" customHeight="1" x14ac:dyDescent="0.25">
      <c r="B20" s="608">
        <v>4</v>
      </c>
      <c r="C20" s="601" t="s">
        <v>285</v>
      </c>
      <c r="D20" s="354" t="s">
        <v>137</v>
      </c>
      <c r="E20" s="354"/>
      <c r="F20" s="230" t="s">
        <v>280</v>
      </c>
      <c r="G20" s="230" t="s">
        <v>280</v>
      </c>
      <c r="H20" s="230" t="s">
        <v>280</v>
      </c>
      <c r="I20" s="234" t="s">
        <v>280</v>
      </c>
      <c r="J20" s="230" t="s">
        <v>280</v>
      </c>
      <c r="K20" s="235" t="s">
        <v>280</v>
      </c>
    </row>
    <row r="21" spans="2:11" ht="26.25" customHeight="1" thickBot="1" x14ac:dyDescent="0.3">
      <c r="B21" s="609"/>
      <c r="C21" s="626"/>
      <c r="D21" s="355"/>
      <c r="E21" s="355" t="s">
        <v>131</v>
      </c>
      <c r="F21" s="236" t="s">
        <v>280</v>
      </c>
      <c r="G21" s="236" t="s">
        <v>280</v>
      </c>
      <c r="H21" s="236" t="s">
        <v>279</v>
      </c>
      <c r="I21" s="356" t="s">
        <v>279</v>
      </c>
      <c r="J21" s="236" t="s">
        <v>280</v>
      </c>
      <c r="K21" s="237" t="s">
        <v>280</v>
      </c>
    </row>
    <row r="22" spans="2:11" ht="19.5" customHeight="1" x14ac:dyDescent="0.25">
      <c r="B22" s="608">
        <v>5</v>
      </c>
      <c r="C22" s="611" t="s">
        <v>286</v>
      </c>
      <c r="D22" s="230" t="s">
        <v>284</v>
      </c>
      <c r="E22" s="354"/>
      <c r="F22" s="230" t="s">
        <v>280</v>
      </c>
      <c r="G22" s="230" t="s">
        <v>280</v>
      </c>
      <c r="H22" s="230" t="s">
        <v>280</v>
      </c>
      <c r="I22" s="230" t="s">
        <v>280</v>
      </c>
      <c r="J22" s="230" t="s">
        <v>279</v>
      </c>
      <c r="K22" s="231" t="s">
        <v>280</v>
      </c>
    </row>
    <row r="23" spans="2:11" ht="27.75" customHeight="1" thickBot="1" x14ac:dyDescent="0.3">
      <c r="B23" s="609"/>
      <c r="C23" s="612"/>
      <c r="D23" s="355"/>
      <c r="E23" s="355" t="s">
        <v>144</v>
      </c>
      <c r="F23" s="236" t="s">
        <v>280</v>
      </c>
      <c r="G23" s="236" t="s">
        <v>280</v>
      </c>
      <c r="H23" s="236" t="s">
        <v>279</v>
      </c>
      <c r="I23" s="236" t="s">
        <v>280</v>
      </c>
      <c r="J23" s="236" t="s">
        <v>280</v>
      </c>
      <c r="K23" s="238" t="s">
        <v>280</v>
      </c>
    </row>
    <row r="24" spans="2:11" ht="18.75" customHeight="1" x14ac:dyDescent="0.25">
      <c r="B24" s="621">
        <v>6</v>
      </c>
      <c r="C24" s="611" t="s">
        <v>287</v>
      </c>
      <c r="D24" s="354" t="s">
        <v>164</v>
      </c>
      <c r="E24" s="354"/>
      <c r="F24" s="230" t="s">
        <v>280</v>
      </c>
      <c r="G24" s="230" t="s">
        <v>279</v>
      </c>
      <c r="H24" s="230" t="s">
        <v>280</v>
      </c>
      <c r="I24" s="230" t="s">
        <v>279</v>
      </c>
      <c r="J24" s="230" t="s">
        <v>280</v>
      </c>
      <c r="K24" s="231" t="s">
        <v>280</v>
      </c>
    </row>
    <row r="25" spans="2:11" ht="22.5" customHeight="1" x14ac:dyDescent="0.25">
      <c r="B25" s="622"/>
      <c r="C25" s="612"/>
      <c r="D25" s="357"/>
      <c r="E25" s="342" t="s">
        <v>158</v>
      </c>
      <c r="F25" s="239" t="s">
        <v>280</v>
      </c>
      <c r="G25" s="239" t="s">
        <v>280</v>
      </c>
      <c r="H25" s="239" t="s">
        <v>280</v>
      </c>
      <c r="I25" s="357"/>
      <c r="J25" s="239" t="s">
        <v>279</v>
      </c>
      <c r="K25" s="240" t="s">
        <v>280</v>
      </c>
    </row>
    <row r="26" spans="2:11" ht="21" customHeight="1" thickBot="1" x14ac:dyDescent="0.3">
      <c r="B26" s="622"/>
      <c r="C26" s="612"/>
      <c r="D26" s="355"/>
      <c r="E26" s="350" t="s">
        <v>162</v>
      </c>
      <c r="F26" s="236" t="s">
        <v>280</v>
      </c>
      <c r="G26" s="236" t="s">
        <v>280</v>
      </c>
      <c r="H26" s="236" t="s">
        <v>280</v>
      </c>
      <c r="I26" s="236" t="s">
        <v>280</v>
      </c>
      <c r="J26" s="236" t="s">
        <v>280</v>
      </c>
      <c r="K26" s="238" t="s">
        <v>280</v>
      </c>
    </row>
    <row r="27" spans="2:11" ht="26.25" customHeight="1" x14ac:dyDescent="0.25">
      <c r="B27" s="608">
        <v>7</v>
      </c>
      <c r="C27" s="611" t="s">
        <v>288</v>
      </c>
      <c r="D27" s="358" t="s">
        <v>223</v>
      </c>
      <c r="E27" s="354"/>
      <c r="F27" s="230" t="s">
        <v>280</v>
      </c>
      <c r="G27" s="230" t="s">
        <v>280</v>
      </c>
      <c r="H27" s="230" t="s">
        <v>279</v>
      </c>
      <c r="I27" s="230" t="s">
        <v>280</v>
      </c>
      <c r="J27" s="230" t="s">
        <v>279</v>
      </c>
      <c r="K27" s="231" t="s">
        <v>280</v>
      </c>
    </row>
    <row r="28" spans="2:11" ht="32.25" customHeight="1" x14ac:dyDescent="0.25">
      <c r="B28" s="609"/>
      <c r="C28" s="612"/>
      <c r="D28" s="357"/>
      <c r="E28" s="342" t="s">
        <v>225</v>
      </c>
      <c r="F28" s="239" t="s">
        <v>280</v>
      </c>
      <c r="G28" s="239" t="s">
        <v>280</v>
      </c>
      <c r="H28" s="239" t="s">
        <v>280</v>
      </c>
      <c r="I28" s="239" t="s">
        <v>280</v>
      </c>
      <c r="J28" s="239" t="s">
        <v>280</v>
      </c>
      <c r="K28" s="241" t="s">
        <v>280</v>
      </c>
    </row>
    <row r="29" spans="2:11" ht="24.75" customHeight="1" thickBot="1" x14ac:dyDescent="0.3">
      <c r="B29" s="610"/>
      <c r="C29" s="623"/>
      <c r="D29" s="359"/>
      <c r="E29" s="346" t="s">
        <v>226</v>
      </c>
      <c r="F29" s="232" t="s">
        <v>280</v>
      </c>
      <c r="G29" s="232" t="s">
        <v>280</v>
      </c>
      <c r="H29" s="232" t="s">
        <v>280</v>
      </c>
      <c r="I29" s="232" t="s">
        <v>280</v>
      </c>
      <c r="J29" s="232" t="s">
        <v>279</v>
      </c>
      <c r="K29" s="233" t="s">
        <v>280</v>
      </c>
    </row>
  </sheetData>
  <mergeCells count="25">
    <mergeCell ref="B24:B26"/>
    <mergeCell ref="C24:C26"/>
    <mergeCell ref="B27:B29"/>
    <mergeCell ref="C27:C29"/>
    <mergeCell ref="B18:B19"/>
    <mergeCell ref="C18:C19"/>
    <mergeCell ref="C20:C21"/>
    <mergeCell ref="B20:B21"/>
    <mergeCell ref="B22:B23"/>
    <mergeCell ref="C22:C23"/>
    <mergeCell ref="C6:C12"/>
    <mergeCell ref="K4:K5"/>
    <mergeCell ref="F3:K3"/>
    <mergeCell ref="B6:B12"/>
    <mergeCell ref="B13:B17"/>
    <mergeCell ref="C13:C17"/>
    <mergeCell ref="D3:D5"/>
    <mergeCell ref="B3:B5"/>
    <mergeCell ref="C3:C5"/>
    <mergeCell ref="E3:E5"/>
    <mergeCell ref="J4:J5"/>
    <mergeCell ref="F4:F5"/>
    <mergeCell ref="G4:G5"/>
    <mergeCell ref="H4:H5"/>
    <mergeCell ref="I4:I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2"/>
  <sheetViews>
    <sheetView workbookViewId="0">
      <selection activeCell="M11" sqref="M11"/>
    </sheetView>
  </sheetViews>
  <sheetFormatPr defaultRowHeight="15" x14ac:dyDescent="0.25"/>
  <cols>
    <col min="2" max="2" width="22" customWidth="1"/>
    <col min="4" max="4" width="11.28515625" customWidth="1"/>
  </cols>
  <sheetData>
    <row r="1" spans="2:4" ht="15.75" thickBot="1" x14ac:dyDescent="0.3"/>
    <row r="2" spans="2:4" ht="15.75" thickBot="1" x14ac:dyDescent="0.3">
      <c r="B2" s="630" t="s">
        <v>329</v>
      </c>
      <c r="C2" s="631"/>
      <c r="D2" s="632"/>
    </row>
    <row r="3" spans="2:4" ht="15.75" thickBot="1" x14ac:dyDescent="0.3">
      <c r="B3" s="289" t="s">
        <v>330</v>
      </c>
      <c r="C3" s="295" t="s">
        <v>312</v>
      </c>
      <c r="D3" s="290" t="s">
        <v>328</v>
      </c>
    </row>
    <row r="4" spans="2:4" x14ac:dyDescent="0.25">
      <c r="B4" s="288" t="s">
        <v>271</v>
      </c>
      <c r="C4" s="293">
        <v>0</v>
      </c>
      <c r="D4" s="294">
        <f>C4/7</f>
        <v>0</v>
      </c>
    </row>
    <row r="5" spans="2:4" x14ac:dyDescent="0.25">
      <c r="B5" s="287" t="s">
        <v>331</v>
      </c>
      <c r="C5" s="291">
        <v>1</v>
      </c>
      <c r="D5" s="292">
        <f>C5/7</f>
        <v>0.14285714285714285</v>
      </c>
    </row>
    <row r="6" spans="2:4" x14ac:dyDescent="0.25">
      <c r="B6" s="627" t="s">
        <v>275</v>
      </c>
      <c r="C6" s="567">
        <v>3</v>
      </c>
      <c r="D6" s="633">
        <f>C6/7</f>
        <v>0.42857142857142855</v>
      </c>
    </row>
    <row r="7" spans="2:4" x14ac:dyDescent="0.25">
      <c r="B7" s="627"/>
      <c r="C7" s="567"/>
      <c r="D7" s="634"/>
    </row>
    <row r="8" spans="2:4" x14ac:dyDescent="0.25">
      <c r="B8" s="287" t="s">
        <v>276</v>
      </c>
      <c r="C8" s="291">
        <v>0</v>
      </c>
      <c r="D8" s="292">
        <f>C8/7</f>
        <v>0</v>
      </c>
    </row>
    <row r="9" spans="2:4" x14ac:dyDescent="0.25">
      <c r="B9" s="287" t="s">
        <v>272</v>
      </c>
      <c r="C9" s="291">
        <v>1</v>
      </c>
      <c r="D9" s="292">
        <f>C9/7</f>
        <v>0.14285714285714285</v>
      </c>
    </row>
    <row r="10" spans="2:4" x14ac:dyDescent="0.25">
      <c r="B10" s="627" t="s">
        <v>278</v>
      </c>
      <c r="C10" s="567">
        <v>2</v>
      </c>
      <c r="D10" s="633">
        <f>C10/7</f>
        <v>0.2857142857142857</v>
      </c>
    </row>
    <row r="11" spans="2:4" ht="15.75" thickBot="1" x14ac:dyDescent="0.3">
      <c r="B11" s="628"/>
      <c r="C11" s="629"/>
      <c r="D11" s="635"/>
    </row>
    <row r="12" spans="2:4" ht="15.75" thickBot="1" x14ac:dyDescent="0.3">
      <c r="B12" s="289" t="s">
        <v>312</v>
      </c>
      <c r="C12" s="295">
        <f>SUM(C4:C11)</f>
        <v>7</v>
      </c>
      <c r="D12" s="296">
        <f>SUM(D4:D11)</f>
        <v>0.99999999999999989</v>
      </c>
    </row>
  </sheetData>
  <mergeCells count="7">
    <mergeCell ref="B6:B7"/>
    <mergeCell ref="B10:B11"/>
    <mergeCell ref="C6:C7"/>
    <mergeCell ref="C10:C11"/>
    <mergeCell ref="B2:D2"/>
    <mergeCell ref="D6:D7"/>
    <mergeCell ref="D10:D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workbookViewId="0">
      <selection activeCell="O8" sqref="O8"/>
    </sheetView>
  </sheetViews>
  <sheetFormatPr defaultRowHeight="15" x14ac:dyDescent="0.25"/>
  <cols>
    <col min="2" max="2" width="19.5703125" customWidth="1"/>
    <col min="4" max="4" width="11.140625" customWidth="1"/>
  </cols>
  <sheetData>
    <row r="2" spans="2:4" x14ac:dyDescent="0.25">
      <c r="B2" s="636" t="s">
        <v>318</v>
      </c>
      <c r="C2" s="636"/>
      <c r="D2" s="636"/>
    </row>
    <row r="3" spans="2:4" x14ac:dyDescent="0.25">
      <c r="B3" s="283" t="s">
        <v>319</v>
      </c>
      <c r="C3" s="283" t="s">
        <v>312</v>
      </c>
      <c r="D3" s="285" t="s">
        <v>328</v>
      </c>
    </row>
    <row r="4" spans="2:4" x14ac:dyDescent="0.25">
      <c r="B4" s="127" t="s">
        <v>322</v>
      </c>
      <c r="C4" s="214">
        <v>1</v>
      </c>
      <c r="D4" s="252">
        <f>C4/7</f>
        <v>0.14285714285714285</v>
      </c>
    </row>
    <row r="5" spans="2:4" x14ac:dyDescent="0.25">
      <c r="B5" s="127" t="s">
        <v>320</v>
      </c>
      <c r="C5" s="214">
        <v>4</v>
      </c>
      <c r="D5" s="252">
        <f t="shared" ref="D5:D11" si="0">C5/7</f>
        <v>0.5714285714285714</v>
      </c>
    </row>
    <row r="6" spans="2:4" x14ac:dyDescent="0.25">
      <c r="B6" s="127" t="s">
        <v>321</v>
      </c>
      <c r="C6" s="214">
        <v>2</v>
      </c>
      <c r="D6" s="252">
        <f t="shared" si="0"/>
        <v>0.2857142857142857</v>
      </c>
    </row>
    <row r="7" spans="2:4" x14ac:dyDescent="0.25">
      <c r="B7" s="127" t="s">
        <v>323</v>
      </c>
      <c r="C7" s="214">
        <v>0</v>
      </c>
      <c r="D7" s="252">
        <f t="shared" si="0"/>
        <v>0</v>
      </c>
    </row>
    <row r="8" spans="2:4" x14ac:dyDescent="0.25">
      <c r="B8" s="127" t="s">
        <v>324</v>
      </c>
      <c r="C8" s="214">
        <v>0</v>
      </c>
      <c r="D8" s="252">
        <f t="shared" si="0"/>
        <v>0</v>
      </c>
    </row>
    <row r="9" spans="2:4" x14ac:dyDescent="0.25">
      <c r="B9" s="127" t="s">
        <v>325</v>
      </c>
      <c r="C9" s="214">
        <v>0</v>
      </c>
      <c r="D9" s="252">
        <f t="shared" si="0"/>
        <v>0</v>
      </c>
    </row>
    <row r="10" spans="2:4" x14ac:dyDescent="0.25">
      <c r="B10" s="127" t="s">
        <v>326</v>
      </c>
      <c r="C10" s="214">
        <v>0</v>
      </c>
      <c r="D10" s="252">
        <f t="shared" si="0"/>
        <v>0</v>
      </c>
    </row>
    <row r="11" spans="2:4" x14ac:dyDescent="0.25">
      <c r="B11" s="127" t="s">
        <v>327</v>
      </c>
      <c r="C11" s="214">
        <v>0</v>
      </c>
      <c r="D11" s="252">
        <f t="shared" si="0"/>
        <v>0</v>
      </c>
    </row>
    <row r="12" spans="2:4" x14ac:dyDescent="0.25">
      <c r="B12" s="283" t="s">
        <v>312</v>
      </c>
      <c r="C12" s="284">
        <f>SUM(C4:C6)</f>
        <v>7</v>
      </c>
      <c r="D12" s="286">
        <f>SUM(D4:D11)</f>
        <v>0.99999999999999989</v>
      </c>
    </row>
  </sheetData>
  <mergeCells count="1">
    <mergeCell ref="B2:D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6"/>
  <sheetViews>
    <sheetView workbookViewId="0">
      <selection activeCell="F10" sqref="F10"/>
    </sheetView>
  </sheetViews>
  <sheetFormatPr defaultRowHeight="15" x14ac:dyDescent="0.25"/>
  <cols>
    <col min="2" max="2" width="21" customWidth="1"/>
    <col min="3" max="3" width="16" customWidth="1"/>
    <col min="4" max="4" width="19.42578125" customWidth="1"/>
  </cols>
  <sheetData>
    <row r="2" spans="2:4" ht="15.75" thickBot="1" x14ac:dyDescent="0.3">
      <c r="B2" t="s">
        <v>370</v>
      </c>
    </row>
    <row r="3" spans="2:4" x14ac:dyDescent="0.25">
      <c r="B3" s="637" t="s">
        <v>371</v>
      </c>
      <c r="C3" s="638"/>
      <c r="D3" s="639"/>
    </row>
    <row r="4" spans="2:4" x14ac:dyDescent="0.25">
      <c r="B4" s="644" t="s">
        <v>372</v>
      </c>
      <c r="C4" s="558" t="s">
        <v>378</v>
      </c>
      <c r="D4" s="643"/>
    </row>
    <row r="5" spans="2:4" ht="15.75" thickBot="1" x14ac:dyDescent="0.3">
      <c r="B5" s="645"/>
      <c r="C5" s="317" t="s">
        <v>376</v>
      </c>
      <c r="D5" s="318" t="s">
        <v>377</v>
      </c>
    </row>
    <row r="6" spans="2:4" ht="15.75" thickBot="1" x14ac:dyDescent="0.3">
      <c r="B6" s="479" t="s">
        <v>375</v>
      </c>
      <c r="C6" s="480"/>
      <c r="D6" s="640"/>
    </row>
    <row r="7" spans="2:4" x14ac:dyDescent="0.25">
      <c r="B7" s="190" t="s">
        <v>373</v>
      </c>
      <c r="C7" s="190" t="s">
        <v>386</v>
      </c>
      <c r="D7" s="190" t="s">
        <v>387</v>
      </c>
    </row>
    <row r="8" spans="2:4" ht="15.75" thickBot="1" x14ac:dyDescent="0.3">
      <c r="B8" s="319" t="s">
        <v>374</v>
      </c>
      <c r="C8" s="646" t="s">
        <v>388</v>
      </c>
      <c r="D8" s="646"/>
    </row>
    <row r="9" spans="2:4" ht="15.75" thickBot="1" x14ac:dyDescent="0.3">
      <c r="B9" s="479" t="s">
        <v>379</v>
      </c>
      <c r="C9" s="480"/>
      <c r="D9" s="640"/>
    </row>
    <row r="10" spans="2:4" ht="31.5" customHeight="1" x14ac:dyDescent="0.25">
      <c r="B10" s="190"/>
      <c r="C10" s="320" t="s">
        <v>384</v>
      </c>
      <c r="D10" s="320" t="s">
        <v>385</v>
      </c>
    </row>
    <row r="11" spans="2:4" x14ac:dyDescent="0.25">
      <c r="B11" s="321" t="s">
        <v>381</v>
      </c>
      <c r="C11" s="641" t="s">
        <v>389</v>
      </c>
      <c r="D11" s="642"/>
    </row>
    <row r="12" spans="2:4" x14ac:dyDescent="0.25">
      <c r="B12" s="321" t="s">
        <v>380</v>
      </c>
      <c r="C12" s="321" t="s">
        <v>389</v>
      </c>
      <c r="D12" s="253" t="s">
        <v>390</v>
      </c>
    </row>
    <row r="13" spans="2:4" x14ac:dyDescent="0.25">
      <c r="B13" s="321" t="s">
        <v>382</v>
      </c>
      <c r="C13" s="641" t="s">
        <v>389</v>
      </c>
      <c r="D13" s="642"/>
    </row>
    <row r="14" spans="2:4" x14ac:dyDescent="0.25">
      <c r="B14" s="316" t="s">
        <v>383</v>
      </c>
      <c r="C14" s="316" t="s">
        <v>391</v>
      </c>
      <c r="D14" s="316" t="s">
        <v>390</v>
      </c>
    </row>
    <row r="16" spans="2:4" x14ac:dyDescent="0.25">
      <c r="B16" s="389" t="s">
        <v>448</v>
      </c>
      <c r="C16" t="s">
        <v>449</v>
      </c>
    </row>
  </sheetData>
  <mergeCells count="8">
    <mergeCell ref="B3:D3"/>
    <mergeCell ref="B9:D9"/>
    <mergeCell ref="C11:D11"/>
    <mergeCell ref="C13:D13"/>
    <mergeCell ref="C4:D4"/>
    <mergeCell ref="B6:D6"/>
    <mergeCell ref="B4:B5"/>
    <mergeCell ref="C8:D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G7"/>
  <sheetViews>
    <sheetView workbookViewId="0">
      <selection activeCell="C3" sqref="C3:G7"/>
    </sheetView>
  </sheetViews>
  <sheetFormatPr defaultRowHeight="15" x14ac:dyDescent="0.25"/>
  <cols>
    <col min="3" max="3" width="4.5703125" customWidth="1"/>
    <col min="4" max="4" width="8.42578125" customWidth="1"/>
    <col min="5" max="5" width="8.85546875" customWidth="1"/>
    <col min="7" max="7" width="17.42578125" customWidth="1"/>
    <col min="8" max="8" width="14.7109375" customWidth="1"/>
    <col min="9" max="9" width="12.28515625" customWidth="1"/>
  </cols>
  <sheetData>
    <row r="2" spans="3:7" ht="15.75" thickBot="1" x14ac:dyDescent="0.3"/>
    <row r="3" spans="3:7" ht="39" thickBot="1" x14ac:dyDescent="0.3">
      <c r="C3" s="386" t="s">
        <v>236</v>
      </c>
      <c r="D3" s="387" t="s">
        <v>419</v>
      </c>
      <c r="E3" s="387" t="s">
        <v>420</v>
      </c>
      <c r="F3" s="387" t="s">
        <v>446</v>
      </c>
      <c r="G3" s="388" t="s">
        <v>421</v>
      </c>
    </row>
    <row r="4" spans="3:7" ht="27.75" customHeight="1" x14ac:dyDescent="0.25">
      <c r="C4" s="385">
        <v>1</v>
      </c>
      <c r="D4" s="320" t="s">
        <v>422</v>
      </c>
      <c r="E4" s="320">
        <v>3.5</v>
      </c>
      <c r="F4" s="320">
        <v>3.3</v>
      </c>
      <c r="G4" s="368" t="s">
        <v>423</v>
      </c>
    </row>
    <row r="5" spans="3:7" ht="25.5" x14ac:dyDescent="0.25">
      <c r="C5" s="382">
        <v>2</v>
      </c>
      <c r="D5" s="305" t="s">
        <v>424</v>
      </c>
      <c r="E5" s="305">
        <v>1</v>
      </c>
      <c r="F5" s="305">
        <v>1.7</v>
      </c>
      <c r="G5" s="369" t="s">
        <v>445</v>
      </c>
    </row>
    <row r="6" spans="3:7" ht="25.5" x14ac:dyDescent="0.25">
      <c r="C6" s="382">
        <v>3</v>
      </c>
      <c r="D6" s="305" t="s">
        <v>443</v>
      </c>
      <c r="E6" s="305">
        <v>1</v>
      </c>
      <c r="F6" s="305" t="s">
        <v>284</v>
      </c>
      <c r="G6" s="369" t="s">
        <v>447</v>
      </c>
    </row>
    <row r="7" spans="3:7" ht="26.25" thickBot="1" x14ac:dyDescent="0.3">
      <c r="C7" s="376">
        <v>4</v>
      </c>
      <c r="D7" s="383" t="s">
        <v>444</v>
      </c>
      <c r="E7" s="383">
        <v>1</v>
      </c>
      <c r="F7" s="317">
        <v>3</v>
      </c>
      <c r="G7" s="384" t="s">
        <v>445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6"/>
  <sheetViews>
    <sheetView topLeftCell="A5" workbookViewId="0">
      <selection activeCell="B3" sqref="B3:E6"/>
    </sheetView>
  </sheetViews>
  <sheetFormatPr defaultRowHeight="15" x14ac:dyDescent="0.25"/>
  <cols>
    <col min="2" max="2" width="4.140625" customWidth="1"/>
    <col min="3" max="3" width="19.5703125" customWidth="1"/>
    <col min="4" max="4" width="27.42578125" customWidth="1"/>
    <col min="5" max="5" width="27.28515625" customWidth="1"/>
  </cols>
  <sheetData>
    <row r="2" spans="2:5" ht="15.75" thickBot="1" x14ac:dyDescent="0.3"/>
    <row r="3" spans="2:5" ht="15.75" thickBot="1" x14ac:dyDescent="0.3">
      <c r="B3" s="364" t="s">
        <v>186</v>
      </c>
      <c r="C3" s="365" t="s">
        <v>425</v>
      </c>
      <c r="D3" s="365" t="s">
        <v>426</v>
      </c>
      <c r="E3" s="366" t="s">
        <v>427</v>
      </c>
    </row>
    <row r="4" spans="2:5" ht="109.5" customHeight="1" x14ac:dyDescent="0.25">
      <c r="B4" s="367">
        <v>1</v>
      </c>
      <c r="C4" s="363" t="s">
        <v>428</v>
      </c>
      <c r="D4" s="363" t="s">
        <v>431</v>
      </c>
      <c r="E4" s="368" t="s">
        <v>433</v>
      </c>
    </row>
    <row r="5" spans="2:5" ht="118.5" customHeight="1" x14ac:dyDescent="0.25">
      <c r="B5" s="361">
        <v>2</v>
      </c>
      <c r="C5" s="200" t="s">
        <v>429</v>
      </c>
      <c r="D5" s="360"/>
      <c r="E5" s="369" t="s">
        <v>432</v>
      </c>
    </row>
    <row r="6" spans="2:5" ht="119.25" customHeight="1" thickBot="1" x14ac:dyDescent="0.3">
      <c r="B6" s="362">
        <v>3</v>
      </c>
      <c r="C6" s="317" t="s">
        <v>430</v>
      </c>
      <c r="D6" s="194"/>
      <c r="E6" s="370" t="s">
        <v>434</v>
      </c>
    </row>
  </sheetData>
  <pageMargins left="0.7" right="0.7" top="0.75" bottom="0.75" header="0.3" footer="0.3"/>
  <pageSetup orientation="portrait" horizontalDpi="360" verticalDpi="36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election activeCell="G16" sqref="G16"/>
    </sheetView>
  </sheetViews>
  <sheetFormatPr defaultRowHeight="15" x14ac:dyDescent="0.25"/>
  <cols>
    <col min="2" max="2" width="4" customWidth="1"/>
    <col min="3" max="3" width="22.7109375" customWidth="1"/>
    <col min="4" max="4" width="20" customWidth="1"/>
    <col min="5" max="5" width="15.5703125" customWidth="1"/>
    <col min="6" max="6" width="16.5703125" customWidth="1"/>
    <col min="7" max="7" width="9" customWidth="1"/>
  </cols>
  <sheetData>
    <row r="1" spans="2:6" ht="15.75" thickBot="1" x14ac:dyDescent="0.3"/>
    <row r="2" spans="2:6" ht="15.75" thickBot="1" x14ac:dyDescent="0.3">
      <c r="B2" s="399" t="s">
        <v>236</v>
      </c>
      <c r="C2" s="387" t="s">
        <v>453</v>
      </c>
      <c r="D2" s="366" t="s">
        <v>455</v>
      </c>
      <c r="E2" s="397"/>
      <c r="F2" s="647"/>
    </row>
    <row r="3" spans="2:6" ht="13.5" customHeight="1" x14ac:dyDescent="0.25">
      <c r="B3" s="363">
        <v>1</v>
      </c>
      <c r="C3" s="398" t="s">
        <v>456</v>
      </c>
      <c r="D3" s="190">
        <v>0</v>
      </c>
      <c r="E3" s="379"/>
      <c r="F3" s="647"/>
    </row>
    <row r="4" spans="2:6" ht="15" customHeight="1" x14ac:dyDescent="0.25">
      <c r="B4" s="378">
        <v>2</v>
      </c>
      <c r="C4" s="378" t="s">
        <v>457</v>
      </c>
      <c r="D4" s="378">
        <v>0</v>
      </c>
      <c r="E4" s="396"/>
      <c r="F4" s="396"/>
    </row>
    <row r="5" spans="2:6" x14ac:dyDescent="0.25">
      <c r="B5" s="378">
        <v>3</v>
      </c>
      <c r="C5" s="378" t="s">
        <v>458</v>
      </c>
      <c r="D5" s="378">
        <v>0</v>
      </c>
    </row>
    <row r="6" spans="2:6" x14ac:dyDescent="0.25">
      <c r="B6" s="378">
        <v>4</v>
      </c>
      <c r="C6" s="378" t="s">
        <v>459</v>
      </c>
      <c r="D6" s="378">
        <v>1</v>
      </c>
    </row>
    <row r="7" spans="2:6" x14ac:dyDescent="0.25">
      <c r="B7" s="378">
        <v>5</v>
      </c>
      <c r="C7" s="378" t="s">
        <v>460</v>
      </c>
      <c r="D7" s="378">
        <v>0</v>
      </c>
    </row>
    <row r="8" spans="2:6" x14ac:dyDescent="0.25">
      <c r="B8" s="378">
        <v>6</v>
      </c>
      <c r="C8" s="378" t="s">
        <v>461</v>
      </c>
      <c r="D8" s="378">
        <v>1</v>
      </c>
    </row>
    <row r="9" spans="2:6" x14ac:dyDescent="0.25">
      <c r="B9" s="378">
        <v>7</v>
      </c>
      <c r="C9" s="378" t="s">
        <v>462</v>
      </c>
      <c r="D9" s="378">
        <v>1</v>
      </c>
    </row>
    <row r="10" spans="2:6" x14ac:dyDescent="0.25">
      <c r="B10" s="378">
        <v>8</v>
      </c>
      <c r="C10" s="378" t="s">
        <v>463</v>
      </c>
      <c r="D10" s="378">
        <v>0</v>
      </c>
    </row>
    <row r="11" spans="2:6" x14ac:dyDescent="0.25">
      <c r="B11" s="378">
        <v>9</v>
      </c>
      <c r="C11" s="378" t="s">
        <v>464</v>
      </c>
      <c r="D11" s="378">
        <v>0</v>
      </c>
    </row>
    <row r="12" spans="2:6" x14ac:dyDescent="0.25">
      <c r="B12" s="378">
        <v>10</v>
      </c>
      <c r="C12" s="378" t="s">
        <v>465</v>
      </c>
      <c r="D12" s="378">
        <v>0</v>
      </c>
    </row>
    <row r="13" spans="2:6" x14ac:dyDescent="0.25">
      <c r="B13" t="s">
        <v>466</v>
      </c>
      <c r="C13" s="400" t="s">
        <v>467</v>
      </c>
    </row>
  </sheetData>
  <mergeCells count="1">
    <mergeCell ref="F2:F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workbookViewId="0">
      <selection activeCell="K8" sqref="K8"/>
    </sheetView>
  </sheetViews>
  <sheetFormatPr defaultRowHeight="15" x14ac:dyDescent="0.25"/>
  <cols>
    <col min="2" max="2" width="21.42578125" customWidth="1"/>
    <col min="3" max="3" width="21.140625" customWidth="1"/>
    <col min="4" max="4" width="22.7109375" customWidth="1"/>
    <col min="5" max="5" width="23.28515625" customWidth="1"/>
    <col min="6" max="6" width="8.5703125" customWidth="1"/>
    <col min="7" max="7" width="4.140625" customWidth="1"/>
    <col min="9" max="9" width="8" customWidth="1"/>
    <col min="10" max="10" width="7.85546875" customWidth="1"/>
  </cols>
  <sheetData>
    <row r="1" spans="2:6" ht="15.75" thickBot="1" x14ac:dyDescent="0.3"/>
    <row r="2" spans="2:6" ht="15.75" customHeight="1" thickBot="1" x14ac:dyDescent="0.3">
      <c r="B2" s="648" t="s">
        <v>479</v>
      </c>
      <c r="C2" s="649"/>
      <c r="D2" s="649" t="s">
        <v>480</v>
      </c>
      <c r="E2" s="649"/>
      <c r="F2" s="403" t="s">
        <v>454</v>
      </c>
    </row>
    <row r="3" spans="2:6" x14ac:dyDescent="0.25">
      <c r="B3" s="320" t="s">
        <v>468</v>
      </c>
      <c r="C3" s="363" t="s">
        <v>475</v>
      </c>
      <c r="D3" s="320" t="s">
        <v>468</v>
      </c>
      <c r="E3" s="363" t="s">
        <v>475</v>
      </c>
      <c r="F3" s="380">
        <v>1</v>
      </c>
    </row>
    <row r="4" spans="2:6" ht="31.5" customHeight="1" x14ac:dyDescent="0.25">
      <c r="B4" s="401" t="s">
        <v>469</v>
      </c>
      <c r="C4" s="200" t="s">
        <v>371</v>
      </c>
      <c r="D4" s="401" t="s">
        <v>469</v>
      </c>
      <c r="E4" s="200" t="s">
        <v>371</v>
      </c>
      <c r="F4" s="381">
        <v>1</v>
      </c>
    </row>
    <row r="5" spans="2:6" ht="27" customHeight="1" x14ac:dyDescent="0.25">
      <c r="B5" s="305" t="s">
        <v>470</v>
      </c>
      <c r="C5" s="305" t="s">
        <v>476</v>
      </c>
      <c r="D5" s="305" t="s">
        <v>470</v>
      </c>
      <c r="E5" s="305" t="s">
        <v>476</v>
      </c>
      <c r="F5" s="381">
        <v>1</v>
      </c>
    </row>
    <row r="6" spans="2:6" x14ac:dyDescent="0.25">
      <c r="B6" s="305" t="s">
        <v>471</v>
      </c>
      <c r="C6" s="305" t="s">
        <v>472</v>
      </c>
      <c r="D6" s="305" t="s">
        <v>471</v>
      </c>
      <c r="E6" s="305" t="s">
        <v>472</v>
      </c>
      <c r="F6" s="381">
        <v>1</v>
      </c>
    </row>
    <row r="7" spans="2:6" ht="15" customHeight="1" x14ac:dyDescent="0.25">
      <c r="B7" s="402" t="s">
        <v>473</v>
      </c>
      <c r="C7" s="200" t="s">
        <v>477</v>
      </c>
      <c r="D7" s="402" t="s">
        <v>473</v>
      </c>
      <c r="E7" s="200" t="s">
        <v>477</v>
      </c>
      <c r="F7" s="381">
        <v>1</v>
      </c>
    </row>
    <row r="8" spans="2:6" x14ac:dyDescent="0.25">
      <c r="B8" s="402" t="s">
        <v>474</v>
      </c>
      <c r="C8" s="200" t="s">
        <v>478</v>
      </c>
      <c r="D8" s="402" t="s">
        <v>474</v>
      </c>
      <c r="E8" s="200" t="s">
        <v>481</v>
      </c>
      <c r="F8" s="381">
        <v>1</v>
      </c>
    </row>
  </sheetData>
  <mergeCells count="2">
    <mergeCell ref="B2:C2"/>
    <mergeCell ref="D2:E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9"/>
  <sheetViews>
    <sheetView tabSelected="1" workbookViewId="0">
      <selection activeCell="P10" sqref="P10:P11"/>
    </sheetView>
  </sheetViews>
  <sheetFormatPr defaultRowHeight="15" x14ac:dyDescent="0.25"/>
  <cols>
    <col min="2" max="2" width="5.28515625" customWidth="1"/>
    <col min="3" max="3" width="8.85546875" customWidth="1"/>
    <col min="4" max="4" width="17.85546875" customWidth="1"/>
    <col min="5" max="5" width="10.42578125" customWidth="1"/>
    <col min="6" max="6" width="10.7109375" customWidth="1"/>
    <col min="7" max="7" width="6.42578125" customWidth="1"/>
    <col min="8" max="8" width="8.85546875" customWidth="1"/>
    <col min="9" max="9" width="4.42578125" customWidth="1"/>
    <col min="10" max="10" width="4.140625" customWidth="1"/>
    <col min="11" max="11" width="4" customWidth="1"/>
    <col min="12" max="12" width="6.140625" customWidth="1"/>
  </cols>
  <sheetData>
    <row r="2" spans="2:12" ht="15" customHeight="1" thickBot="1" x14ac:dyDescent="0.3"/>
    <row r="3" spans="2:12" ht="26.25" thickBot="1" x14ac:dyDescent="0.3">
      <c r="B3" s="652" t="s">
        <v>236</v>
      </c>
      <c r="C3" s="653" t="s">
        <v>201</v>
      </c>
      <c r="D3" s="654" t="s">
        <v>237</v>
      </c>
      <c r="E3" s="654" t="s">
        <v>188</v>
      </c>
      <c r="F3" s="654" t="s">
        <v>238</v>
      </c>
      <c r="G3" s="654" t="s">
        <v>239</v>
      </c>
      <c r="H3" s="654" t="s">
        <v>240</v>
      </c>
      <c r="I3" s="654" t="s">
        <v>77</v>
      </c>
      <c r="J3" s="654" t="s">
        <v>78</v>
      </c>
      <c r="K3" s="654" t="s">
        <v>20</v>
      </c>
      <c r="L3" s="655" t="s">
        <v>452</v>
      </c>
    </row>
    <row r="4" spans="2:12" x14ac:dyDescent="0.25">
      <c r="B4" s="190">
        <v>1</v>
      </c>
      <c r="C4" s="190">
        <v>2016</v>
      </c>
      <c r="D4" s="190" t="s">
        <v>241</v>
      </c>
      <c r="E4" s="190">
        <v>19</v>
      </c>
      <c r="F4" s="190">
        <v>4</v>
      </c>
      <c r="G4" s="190">
        <v>11</v>
      </c>
      <c r="H4" s="190">
        <v>11</v>
      </c>
      <c r="I4" s="481"/>
      <c r="J4" s="481"/>
      <c r="K4" s="481"/>
      <c r="L4" s="481"/>
    </row>
    <row r="5" spans="2:12" x14ac:dyDescent="0.25">
      <c r="B5" s="374">
        <v>2</v>
      </c>
      <c r="C5" s="374">
        <v>2017</v>
      </c>
      <c r="D5" s="374" t="s">
        <v>241</v>
      </c>
      <c r="E5" s="374">
        <v>15</v>
      </c>
      <c r="F5" s="374">
        <v>4</v>
      </c>
      <c r="G5" s="374">
        <v>10</v>
      </c>
      <c r="H5" s="374">
        <v>13</v>
      </c>
      <c r="I5" s="482"/>
      <c r="J5" s="482"/>
      <c r="K5" s="482"/>
      <c r="L5" s="482"/>
    </row>
    <row r="6" spans="2:12" x14ac:dyDescent="0.25">
      <c r="B6" s="374">
        <v>3</v>
      </c>
      <c r="C6" s="374">
        <v>2018</v>
      </c>
      <c r="D6" s="374" t="s">
        <v>241</v>
      </c>
      <c r="E6" s="374">
        <v>8</v>
      </c>
      <c r="F6" s="374">
        <v>1</v>
      </c>
      <c r="G6" s="374">
        <v>1</v>
      </c>
      <c r="H6" s="374">
        <v>9</v>
      </c>
      <c r="I6" s="482"/>
      <c r="J6" s="482"/>
      <c r="K6" s="482"/>
      <c r="L6" s="482"/>
    </row>
    <row r="7" spans="2:12" x14ac:dyDescent="0.25">
      <c r="B7" s="374">
        <v>4</v>
      </c>
      <c r="C7" s="374">
        <v>2019</v>
      </c>
      <c r="D7" s="374" t="s">
        <v>241</v>
      </c>
      <c r="E7" s="374">
        <v>10</v>
      </c>
      <c r="F7" s="374">
        <v>10</v>
      </c>
      <c r="G7" s="374">
        <v>2</v>
      </c>
      <c r="H7" s="374">
        <v>12</v>
      </c>
      <c r="I7" s="482"/>
      <c r="J7" s="482"/>
      <c r="K7" s="482"/>
      <c r="L7" s="482"/>
    </row>
    <row r="8" spans="2:12" ht="15.75" thickBot="1" x14ac:dyDescent="0.3">
      <c r="B8" s="377">
        <v>5</v>
      </c>
      <c r="C8" s="377">
        <v>2020</v>
      </c>
      <c r="D8" s="377" t="s">
        <v>241</v>
      </c>
      <c r="E8" s="377">
        <v>7</v>
      </c>
      <c r="F8" s="377">
        <v>5</v>
      </c>
      <c r="G8" s="377">
        <v>0</v>
      </c>
      <c r="H8" s="377">
        <v>12</v>
      </c>
      <c r="I8" s="483"/>
      <c r="J8" s="483"/>
      <c r="K8" s="483"/>
      <c r="L8" s="483"/>
    </row>
    <row r="9" spans="2:12" ht="15.75" thickBot="1" x14ac:dyDescent="0.3">
      <c r="B9" s="479" t="s">
        <v>312</v>
      </c>
      <c r="C9" s="480"/>
      <c r="D9" s="480"/>
      <c r="E9" s="375">
        <f>SUM(E4:E8)</f>
        <v>59</v>
      </c>
      <c r="F9" s="394">
        <f>SUM(F4:F8)</f>
        <v>24</v>
      </c>
      <c r="G9" s="394">
        <f t="shared" ref="G9:H9" si="0">SUM(G4:G8)</f>
        <v>24</v>
      </c>
      <c r="H9" s="394">
        <f t="shared" si="0"/>
        <v>57</v>
      </c>
      <c r="I9" s="394">
        <f>F9*6</f>
        <v>144</v>
      </c>
      <c r="J9" s="394">
        <f>G9*3</f>
        <v>72</v>
      </c>
      <c r="K9" s="394">
        <f>H9*0.8</f>
        <v>45.6</v>
      </c>
      <c r="L9" s="395">
        <f>SUM(I9:K9)</f>
        <v>261.60000000000002</v>
      </c>
    </row>
  </sheetData>
  <mergeCells count="5">
    <mergeCell ref="B9:D9"/>
    <mergeCell ref="I4:I8"/>
    <mergeCell ref="J4:J8"/>
    <mergeCell ref="K4:K8"/>
    <mergeCell ref="L4:L8"/>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1"/>
  <sheetViews>
    <sheetView topLeftCell="A3" workbookViewId="0">
      <selection activeCell="G10" sqref="G10"/>
    </sheetView>
  </sheetViews>
  <sheetFormatPr defaultRowHeight="15" x14ac:dyDescent="0.25"/>
  <cols>
    <col min="2" max="2" width="5" customWidth="1"/>
    <col min="3" max="3" width="20" customWidth="1"/>
    <col min="4" max="4" width="43.28515625" customWidth="1"/>
    <col min="5" max="5" width="27.28515625" customWidth="1"/>
  </cols>
  <sheetData>
    <row r="2" spans="2:4" ht="15.75" thickBot="1" x14ac:dyDescent="0.3"/>
    <row r="3" spans="2:4" ht="15.75" thickBot="1" x14ac:dyDescent="0.3">
      <c r="B3" s="405" t="s">
        <v>186</v>
      </c>
      <c r="C3" s="406" t="s">
        <v>483</v>
      </c>
      <c r="D3" s="412" t="s">
        <v>482</v>
      </c>
    </row>
    <row r="4" spans="2:4" ht="30" customHeight="1" x14ac:dyDescent="0.25">
      <c r="B4" s="320">
        <v>1</v>
      </c>
      <c r="C4" s="404" t="s">
        <v>274</v>
      </c>
      <c r="D4" s="411" t="s">
        <v>490</v>
      </c>
    </row>
    <row r="5" spans="2:4" ht="37.5" customHeight="1" x14ac:dyDescent="0.25">
      <c r="B5" s="305">
        <v>2</v>
      </c>
      <c r="C5" s="408" t="s">
        <v>484</v>
      </c>
      <c r="D5" s="407" t="s">
        <v>491</v>
      </c>
    </row>
    <row r="6" spans="2:4" ht="27.75" customHeight="1" x14ac:dyDescent="0.25">
      <c r="B6" s="305">
        <v>3</v>
      </c>
      <c r="C6" s="407" t="s">
        <v>485</v>
      </c>
      <c r="D6" s="409" t="s">
        <v>492</v>
      </c>
    </row>
    <row r="7" spans="2:4" ht="27.75" customHeight="1" x14ac:dyDescent="0.25">
      <c r="B7" s="305">
        <v>4</v>
      </c>
      <c r="C7" s="407" t="s">
        <v>486</v>
      </c>
      <c r="D7" s="410" t="s">
        <v>493</v>
      </c>
    </row>
    <row r="8" spans="2:4" ht="51" x14ac:dyDescent="0.25">
      <c r="B8" s="305">
        <v>5</v>
      </c>
      <c r="C8" s="408" t="s">
        <v>495</v>
      </c>
      <c r="D8" s="407" t="s">
        <v>496</v>
      </c>
    </row>
    <row r="9" spans="2:4" ht="39" x14ac:dyDescent="0.25">
      <c r="B9" s="305">
        <v>6</v>
      </c>
      <c r="C9" s="409" t="s">
        <v>487</v>
      </c>
      <c r="D9" s="410" t="s">
        <v>494</v>
      </c>
    </row>
    <row r="10" spans="2:4" ht="44.25" customHeight="1" x14ac:dyDescent="0.25">
      <c r="B10" s="305">
        <v>7</v>
      </c>
      <c r="C10" s="407" t="s">
        <v>488</v>
      </c>
      <c r="D10" s="408" t="s">
        <v>489</v>
      </c>
    </row>
    <row r="11" spans="2:4" ht="25.5" x14ac:dyDescent="0.25">
      <c r="B11" s="402">
        <v>8</v>
      </c>
      <c r="C11" s="420" t="s">
        <v>542</v>
      </c>
      <c r="D11" s="410" t="s">
        <v>543</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workbookViewId="0">
      <selection activeCell="F8" sqref="F8"/>
    </sheetView>
  </sheetViews>
  <sheetFormatPr defaultRowHeight="15" x14ac:dyDescent="0.25"/>
  <cols>
    <col min="2" max="2" width="4.28515625" customWidth="1"/>
    <col min="3" max="3" width="29.5703125" customWidth="1"/>
    <col min="4" max="5" width="19.42578125" customWidth="1"/>
    <col min="6" max="6" width="20.140625" customWidth="1"/>
  </cols>
  <sheetData>
    <row r="3" spans="2:6" x14ac:dyDescent="0.25">
      <c r="B3" s="417" t="s">
        <v>186</v>
      </c>
      <c r="C3" s="417" t="s">
        <v>483</v>
      </c>
      <c r="D3" s="417" t="s">
        <v>500</v>
      </c>
      <c r="E3" s="417" t="s">
        <v>499</v>
      </c>
      <c r="F3" s="417" t="s">
        <v>505</v>
      </c>
    </row>
    <row r="4" spans="2:6" ht="53.25" customHeight="1" x14ac:dyDescent="0.25">
      <c r="B4" s="200">
        <v>1</v>
      </c>
      <c r="C4" s="305" t="s">
        <v>502</v>
      </c>
      <c r="D4" s="305" t="s">
        <v>504</v>
      </c>
      <c r="E4" s="305" t="s">
        <v>501</v>
      </c>
      <c r="F4" s="305" t="s">
        <v>503</v>
      </c>
    </row>
    <row r="5" spans="2:6" ht="51.75" x14ac:dyDescent="0.25">
      <c r="B5" s="200">
        <v>2</v>
      </c>
      <c r="C5" s="305" t="s">
        <v>506</v>
      </c>
      <c r="D5" s="305" t="s">
        <v>514</v>
      </c>
      <c r="E5" s="401" t="s">
        <v>507</v>
      </c>
      <c r="F5" s="305" t="s">
        <v>508</v>
      </c>
    </row>
    <row r="6" spans="2:6" ht="64.5" x14ac:dyDescent="0.25">
      <c r="B6" s="200">
        <v>3</v>
      </c>
      <c r="C6" s="305" t="s">
        <v>509</v>
      </c>
      <c r="D6" s="305" t="s">
        <v>510</v>
      </c>
      <c r="E6" s="200" t="s">
        <v>284</v>
      </c>
      <c r="F6" s="401" t="s">
        <v>511</v>
      </c>
    </row>
    <row r="7" spans="2:6" ht="64.5" x14ac:dyDescent="0.25">
      <c r="B7" s="200">
        <v>4</v>
      </c>
      <c r="C7" s="305" t="s">
        <v>515</v>
      </c>
      <c r="D7" s="401" t="s">
        <v>512</v>
      </c>
      <c r="E7" s="200" t="s">
        <v>284</v>
      </c>
      <c r="F7" s="401" t="s">
        <v>513</v>
      </c>
    </row>
    <row r="8" spans="2:6" x14ac:dyDescent="0.25">
      <c r="B8" s="413"/>
      <c r="C8" s="413"/>
      <c r="D8" s="413"/>
      <c r="E8" s="413"/>
      <c r="F8" s="413"/>
    </row>
    <row r="9" spans="2:6" x14ac:dyDescent="0.25">
      <c r="B9" s="413"/>
      <c r="C9" s="413"/>
      <c r="D9" s="413"/>
      <c r="E9" s="413"/>
      <c r="F9" s="413"/>
    </row>
    <row r="10" spans="2:6" x14ac:dyDescent="0.25">
      <c r="B10" s="413"/>
      <c r="C10" s="413"/>
      <c r="D10" s="413"/>
      <c r="E10" s="413"/>
      <c r="F10" s="413"/>
    </row>
    <row r="11" spans="2:6" x14ac:dyDescent="0.25">
      <c r="B11" s="413"/>
      <c r="C11" s="413"/>
      <c r="D11" s="413"/>
      <c r="E11" s="413"/>
      <c r="F11" s="413"/>
    </row>
    <row r="12" spans="2:6" x14ac:dyDescent="0.25">
      <c r="B12" s="413"/>
      <c r="C12" s="413"/>
      <c r="D12" s="413"/>
      <c r="E12" s="413"/>
      <c r="F12" s="413"/>
    </row>
    <row r="13" spans="2:6" x14ac:dyDescent="0.25">
      <c r="B13" s="413"/>
      <c r="C13" s="413"/>
      <c r="D13" s="413"/>
      <c r="E13" s="413"/>
      <c r="F13" s="413"/>
    </row>
    <row r="14" spans="2:6" x14ac:dyDescent="0.25">
      <c r="B14" s="413"/>
      <c r="C14" s="413"/>
      <c r="D14" s="413"/>
      <c r="E14" s="413"/>
      <c r="F14" s="413"/>
    </row>
    <row r="15" spans="2:6" x14ac:dyDescent="0.25">
      <c r="B15" s="413"/>
      <c r="C15" s="413"/>
      <c r="D15" s="413"/>
      <c r="E15" s="413"/>
      <c r="F15" s="413"/>
    </row>
    <row r="16" spans="2:6" x14ac:dyDescent="0.25">
      <c r="B16" s="197"/>
      <c r="C16" s="197"/>
      <c r="D16" s="197"/>
      <c r="E16" s="197"/>
      <c r="F16" s="197"/>
    </row>
    <row r="17" spans="2:6" x14ac:dyDescent="0.25">
      <c r="B17" s="197"/>
      <c r="C17" s="197"/>
      <c r="D17" s="197"/>
      <c r="E17" s="197"/>
      <c r="F17" s="197"/>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X14"/>
  <sheetViews>
    <sheetView topLeftCell="D1" zoomScale="112" zoomScaleNormal="112" workbookViewId="0">
      <selection activeCell="S2" sqref="S2"/>
    </sheetView>
  </sheetViews>
  <sheetFormatPr defaultRowHeight="15" x14ac:dyDescent="0.25"/>
  <cols>
    <col min="2" max="2" width="3.85546875" customWidth="1"/>
    <col min="3" max="3" width="10.28515625" customWidth="1"/>
    <col min="4" max="4" width="11.42578125" customWidth="1"/>
    <col min="9" max="9" width="11" customWidth="1"/>
    <col min="11" max="11" width="8.140625" customWidth="1"/>
    <col min="13" max="13" width="10.7109375" bestFit="1" customWidth="1"/>
    <col min="15" max="15" width="13.28515625" customWidth="1"/>
    <col min="16" max="16" width="13.140625" customWidth="1"/>
    <col min="18" max="18" width="11.140625" customWidth="1"/>
  </cols>
  <sheetData>
    <row r="3" spans="2:24" ht="13.5" customHeight="1" x14ac:dyDescent="0.25">
      <c r="B3" s="517" t="s">
        <v>186</v>
      </c>
      <c r="C3" s="517" t="s">
        <v>516</v>
      </c>
      <c r="D3" s="650" t="s">
        <v>517</v>
      </c>
      <c r="E3" s="651" t="s">
        <v>518</v>
      </c>
      <c r="F3" s="651"/>
      <c r="G3" s="651"/>
      <c r="H3" s="651"/>
      <c r="I3" s="650" t="s">
        <v>519</v>
      </c>
      <c r="K3" s="517" t="s">
        <v>531</v>
      </c>
      <c r="L3" s="650" t="s">
        <v>532</v>
      </c>
      <c r="M3" s="650" t="s">
        <v>541</v>
      </c>
      <c r="N3" s="517" t="s">
        <v>534</v>
      </c>
      <c r="O3" s="650" t="s">
        <v>535</v>
      </c>
      <c r="P3" s="650" t="s">
        <v>536</v>
      </c>
      <c r="Q3" s="517" t="s">
        <v>537</v>
      </c>
      <c r="R3" s="650" t="s">
        <v>538</v>
      </c>
      <c r="S3" s="197"/>
      <c r="T3" s="197"/>
      <c r="U3" s="197"/>
      <c r="V3" s="197"/>
      <c r="W3" s="197"/>
      <c r="X3" s="197"/>
    </row>
    <row r="4" spans="2:24" ht="22.5" customHeight="1" x14ac:dyDescent="0.25">
      <c r="B4" s="517"/>
      <c r="C4" s="517"/>
      <c r="D4" s="650"/>
      <c r="E4" s="417" t="s">
        <v>520</v>
      </c>
      <c r="F4" s="417" t="s">
        <v>521</v>
      </c>
      <c r="G4" s="417" t="s">
        <v>522</v>
      </c>
      <c r="H4" s="417" t="s">
        <v>523</v>
      </c>
      <c r="I4" s="650"/>
      <c r="K4" s="517"/>
      <c r="L4" s="650"/>
      <c r="M4" s="650"/>
      <c r="N4" s="517"/>
      <c r="O4" s="650"/>
      <c r="P4" s="650"/>
      <c r="Q4" s="517"/>
      <c r="R4" s="650"/>
      <c r="S4" s="197"/>
      <c r="T4" s="197"/>
      <c r="U4" s="197"/>
      <c r="V4" s="197"/>
      <c r="W4" s="197"/>
      <c r="X4" s="197"/>
    </row>
    <row r="5" spans="2:24" x14ac:dyDescent="0.25">
      <c r="B5" s="414">
        <v>1</v>
      </c>
      <c r="C5" s="414" t="s">
        <v>369</v>
      </c>
      <c r="D5" s="414" t="s">
        <v>529</v>
      </c>
      <c r="E5" s="414">
        <v>1.2</v>
      </c>
      <c r="F5" s="414">
        <v>0.9</v>
      </c>
      <c r="G5" s="414" t="s">
        <v>284</v>
      </c>
      <c r="H5" s="414">
        <f>(E5*F5)</f>
        <v>1.08</v>
      </c>
      <c r="I5" s="414" t="s">
        <v>525</v>
      </c>
      <c r="K5" s="419">
        <f>(H5/300)*100%</f>
        <v>3.6000000000000003E-3</v>
      </c>
      <c r="L5" s="200">
        <v>20</v>
      </c>
      <c r="M5" s="268">
        <f>1+(9/95)*(100-L5)</f>
        <v>8.5789473684210531</v>
      </c>
      <c r="N5" s="414">
        <v>2</v>
      </c>
      <c r="O5" s="200">
        <v>20</v>
      </c>
      <c r="P5" s="414">
        <v>10</v>
      </c>
      <c r="Q5" s="414">
        <f>100-P5</f>
        <v>90</v>
      </c>
      <c r="R5" s="414" t="s">
        <v>539</v>
      </c>
      <c r="S5" s="197"/>
      <c r="T5" s="197"/>
      <c r="U5" s="197"/>
      <c r="V5" s="197"/>
      <c r="W5" s="197"/>
      <c r="X5" s="197"/>
    </row>
    <row r="6" spans="2:24" x14ac:dyDescent="0.25">
      <c r="B6" s="414">
        <v>2</v>
      </c>
      <c r="C6" s="414" t="s">
        <v>351</v>
      </c>
      <c r="D6" s="414" t="s">
        <v>524</v>
      </c>
      <c r="E6" s="414">
        <v>0.8</v>
      </c>
      <c r="F6" s="414">
        <v>0.9</v>
      </c>
      <c r="G6" s="414" t="s">
        <v>284</v>
      </c>
      <c r="H6" s="414">
        <f t="shared" ref="H6:H9" si="0">(E6*F6)</f>
        <v>0.72000000000000008</v>
      </c>
      <c r="I6" s="414" t="s">
        <v>526</v>
      </c>
      <c r="K6" s="419">
        <f t="shared" ref="K6:K9" si="1">(H6/300)*10</f>
        <v>2.4E-2</v>
      </c>
      <c r="L6" s="415">
        <v>29</v>
      </c>
      <c r="M6" s="268">
        <f t="shared" ref="M6:M9" si="2">1+(9/95)*(100-L6)</f>
        <v>7.7263157894736842</v>
      </c>
      <c r="N6" s="414">
        <v>2</v>
      </c>
      <c r="O6" s="415">
        <v>29</v>
      </c>
      <c r="P6" s="414">
        <v>16</v>
      </c>
      <c r="Q6" s="414">
        <f t="shared" ref="Q6:Q9" si="3">100-P6</f>
        <v>84</v>
      </c>
      <c r="R6" s="414" t="s">
        <v>540</v>
      </c>
      <c r="S6" s="197"/>
      <c r="T6" s="197"/>
      <c r="U6" s="197"/>
      <c r="V6" s="197"/>
      <c r="W6" s="197"/>
      <c r="X6" s="197"/>
    </row>
    <row r="7" spans="2:24" x14ac:dyDescent="0.25">
      <c r="B7" s="414">
        <v>3</v>
      </c>
      <c r="C7" s="414" t="s">
        <v>527</v>
      </c>
      <c r="D7" s="414" t="s">
        <v>524</v>
      </c>
      <c r="E7" s="414">
        <v>2.1</v>
      </c>
      <c r="F7" s="414">
        <v>1.2</v>
      </c>
      <c r="G7" s="414" t="s">
        <v>284</v>
      </c>
      <c r="H7" s="414">
        <f t="shared" si="0"/>
        <v>2.52</v>
      </c>
      <c r="I7" s="414" t="s">
        <v>526</v>
      </c>
      <c r="K7" s="419">
        <f t="shared" si="1"/>
        <v>8.3999999999999991E-2</v>
      </c>
      <c r="L7" s="200">
        <v>31</v>
      </c>
      <c r="M7" s="268">
        <f t="shared" si="2"/>
        <v>7.5368421052631582</v>
      </c>
      <c r="N7" s="414">
        <v>2</v>
      </c>
      <c r="O7" s="200">
        <v>31</v>
      </c>
      <c r="P7" s="414">
        <v>20</v>
      </c>
      <c r="Q7" s="414">
        <f t="shared" si="3"/>
        <v>80</v>
      </c>
      <c r="R7" s="414" t="s">
        <v>540</v>
      </c>
      <c r="S7" s="197"/>
      <c r="T7" s="197"/>
      <c r="U7" s="197"/>
      <c r="V7" s="197"/>
      <c r="W7" s="197"/>
      <c r="X7" s="197"/>
    </row>
    <row r="8" spans="2:24" x14ac:dyDescent="0.25">
      <c r="B8" s="414">
        <v>4</v>
      </c>
      <c r="C8" s="414" t="s">
        <v>528</v>
      </c>
      <c r="D8" s="414" t="s">
        <v>529</v>
      </c>
      <c r="E8" s="414">
        <v>1.8</v>
      </c>
      <c r="F8" s="414">
        <v>1.6</v>
      </c>
      <c r="G8" s="414" t="s">
        <v>284</v>
      </c>
      <c r="H8" s="414">
        <f t="shared" si="0"/>
        <v>2.8800000000000003</v>
      </c>
      <c r="I8" s="414" t="s">
        <v>525</v>
      </c>
      <c r="K8" s="419">
        <f t="shared" si="1"/>
        <v>9.6000000000000002E-2</v>
      </c>
      <c r="L8" s="200">
        <v>30</v>
      </c>
      <c r="M8" s="268">
        <f t="shared" si="2"/>
        <v>7.6315789473684212</v>
      </c>
      <c r="N8" s="414">
        <v>2</v>
      </c>
      <c r="O8" s="200">
        <v>30</v>
      </c>
      <c r="P8" s="414">
        <v>18</v>
      </c>
      <c r="Q8" s="414">
        <f t="shared" si="3"/>
        <v>82</v>
      </c>
      <c r="R8" s="414" t="s">
        <v>540</v>
      </c>
      <c r="S8" s="197"/>
      <c r="T8" s="197"/>
      <c r="U8" s="197"/>
      <c r="V8" s="197"/>
      <c r="W8" s="197"/>
      <c r="X8" s="197"/>
    </row>
    <row r="9" spans="2:24" x14ac:dyDescent="0.25">
      <c r="B9" s="414">
        <v>5</v>
      </c>
      <c r="C9" s="414" t="s">
        <v>530</v>
      </c>
      <c r="D9" s="414" t="s">
        <v>533</v>
      </c>
      <c r="E9" s="414">
        <v>1.4</v>
      </c>
      <c r="F9" s="414">
        <v>1.4</v>
      </c>
      <c r="G9" s="414" t="s">
        <v>284</v>
      </c>
      <c r="H9" s="416">
        <f t="shared" si="0"/>
        <v>1.9599999999999997</v>
      </c>
      <c r="I9" s="414" t="s">
        <v>525</v>
      </c>
      <c r="K9" s="419">
        <f t="shared" si="1"/>
        <v>6.5333333333333327E-2</v>
      </c>
      <c r="L9" s="200">
        <v>24</v>
      </c>
      <c r="M9" s="268">
        <f t="shared" si="2"/>
        <v>8.1999999999999993</v>
      </c>
      <c r="N9" s="414">
        <v>2</v>
      </c>
      <c r="O9" s="200">
        <v>24</v>
      </c>
      <c r="P9" s="414">
        <v>13</v>
      </c>
      <c r="Q9" s="414">
        <f t="shared" si="3"/>
        <v>87</v>
      </c>
      <c r="R9" s="414" t="s">
        <v>539</v>
      </c>
      <c r="S9" s="197"/>
      <c r="T9" s="197"/>
      <c r="U9" s="197"/>
      <c r="V9" s="197"/>
      <c r="W9" s="197"/>
      <c r="X9" s="197"/>
    </row>
    <row r="10" spans="2:24" x14ac:dyDescent="0.25">
      <c r="H10" s="418"/>
      <c r="K10" s="197"/>
      <c r="L10" s="197"/>
      <c r="M10" s="197"/>
      <c r="N10" s="197"/>
      <c r="O10" s="197"/>
      <c r="P10" s="197"/>
      <c r="Q10" s="197"/>
      <c r="R10" s="197"/>
      <c r="S10" s="197"/>
      <c r="T10" s="197"/>
      <c r="U10" s="197"/>
      <c r="V10" s="197"/>
      <c r="W10" s="197"/>
      <c r="X10" s="197"/>
    </row>
    <row r="11" spans="2:24" x14ac:dyDescent="0.25">
      <c r="C11" s="371">
        <f>1+(9/95)</f>
        <v>1.0947368421052632</v>
      </c>
      <c r="K11" s="197"/>
      <c r="L11" s="197"/>
      <c r="M11" s="197"/>
      <c r="N11" s="197"/>
      <c r="O11" s="197"/>
      <c r="P11" s="197"/>
      <c r="Q11" s="197"/>
      <c r="R11" s="197"/>
      <c r="S11" s="197"/>
      <c r="T11" s="197"/>
      <c r="U11" s="197"/>
      <c r="V11" s="197"/>
      <c r="W11" s="197"/>
      <c r="X11" s="197"/>
    </row>
    <row r="12" spans="2:24" x14ac:dyDescent="0.25">
      <c r="K12" s="197"/>
      <c r="L12" s="197"/>
      <c r="M12" s="197"/>
      <c r="N12" s="197"/>
      <c r="O12" s="197"/>
      <c r="P12" s="197"/>
      <c r="Q12" s="197"/>
      <c r="R12" s="197"/>
      <c r="S12" s="197"/>
      <c r="T12" s="197"/>
      <c r="U12" s="197"/>
      <c r="V12" s="197"/>
      <c r="W12" s="197"/>
      <c r="X12" s="197"/>
    </row>
    <row r="13" spans="2:24" x14ac:dyDescent="0.25">
      <c r="K13" s="197"/>
      <c r="L13" s="197"/>
      <c r="M13" s="197"/>
      <c r="N13" s="197"/>
      <c r="O13" s="197"/>
      <c r="P13" s="197"/>
      <c r="Q13" s="197"/>
      <c r="R13" s="197"/>
      <c r="S13" s="197"/>
      <c r="T13" s="197"/>
      <c r="U13" s="197"/>
      <c r="V13" s="197"/>
      <c r="W13" s="197"/>
      <c r="X13" s="197"/>
    </row>
    <row r="14" spans="2:24" x14ac:dyDescent="0.25">
      <c r="K14" s="197"/>
      <c r="L14" s="197"/>
      <c r="M14" s="197"/>
      <c r="N14" s="197"/>
      <c r="O14" s="197"/>
      <c r="P14" s="197"/>
      <c r="Q14" s="197"/>
      <c r="R14" s="197"/>
      <c r="S14" s="197"/>
      <c r="T14" s="197"/>
      <c r="U14" s="197"/>
      <c r="V14" s="197"/>
      <c r="W14" s="197"/>
      <c r="X14" s="197"/>
    </row>
  </sheetData>
  <mergeCells count="13">
    <mergeCell ref="R3:R4"/>
    <mergeCell ref="L3:L4"/>
    <mergeCell ref="M3:M4"/>
    <mergeCell ref="N3:N4"/>
    <mergeCell ref="O3:O4"/>
    <mergeCell ref="P3:P4"/>
    <mergeCell ref="Q3:Q4"/>
    <mergeCell ref="K3:K4"/>
    <mergeCell ref="B3:B4"/>
    <mergeCell ref="C3:C4"/>
    <mergeCell ref="D3:D4"/>
    <mergeCell ref="E3:H3"/>
    <mergeCell ref="I3:I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
  <sheetViews>
    <sheetView workbookViewId="0">
      <selection activeCell="B12" sqref="B12:G19"/>
    </sheetView>
  </sheetViews>
  <sheetFormatPr defaultRowHeight="15" x14ac:dyDescent="0.25"/>
  <cols>
    <col min="2" max="2" width="6.85546875" customWidth="1"/>
    <col min="3" max="3" width="12.5703125" customWidth="1"/>
    <col min="4" max="4" width="11.140625" customWidth="1"/>
    <col min="5" max="5" width="6.85546875" customWidth="1"/>
    <col min="6" max="6" width="7.140625" customWidth="1"/>
    <col min="7" max="7" width="12.85546875" customWidth="1"/>
    <col min="8" max="8" width="13" customWidth="1"/>
  </cols>
  <sheetData>
    <row r="1" spans="2:8" ht="15.75" thickBot="1" x14ac:dyDescent="0.3"/>
    <row r="2" spans="2:8" x14ac:dyDescent="0.25">
      <c r="B2" s="487" t="s">
        <v>181</v>
      </c>
      <c r="C2" s="489" t="s">
        <v>234</v>
      </c>
      <c r="D2" s="489" t="s">
        <v>182</v>
      </c>
      <c r="E2" s="489"/>
      <c r="F2" s="489"/>
      <c r="G2" s="491" t="s">
        <v>183</v>
      </c>
      <c r="H2" s="148"/>
    </row>
    <row r="3" spans="2:8" x14ac:dyDescent="0.25">
      <c r="B3" s="488"/>
      <c r="C3" s="490"/>
      <c r="D3" s="146" t="s">
        <v>77</v>
      </c>
      <c r="E3" s="146" t="s">
        <v>78</v>
      </c>
      <c r="F3" s="146" t="s">
        <v>20</v>
      </c>
      <c r="G3" s="492"/>
      <c r="H3" s="148"/>
    </row>
    <row r="4" spans="2:8" ht="15.75" thickBot="1" x14ac:dyDescent="0.3">
      <c r="B4" s="143">
        <v>2020</v>
      </c>
      <c r="C4" s="144">
        <v>198</v>
      </c>
      <c r="D4" s="144">
        <v>66</v>
      </c>
      <c r="E4" s="144">
        <v>32</v>
      </c>
      <c r="F4" s="144">
        <v>195</v>
      </c>
      <c r="G4" s="145" t="s">
        <v>184</v>
      </c>
      <c r="H4" s="142"/>
    </row>
    <row r="6" spans="2:8" ht="15.75" thickBot="1" x14ac:dyDescent="0.3"/>
    <row r="7" spans="2:8" x14ac:dyDescent="0.25">
      <c r="B7" s="487" t="s">
        <v>181</v>
      </c>
      <c r="C7" s="489" t="s">
        <v>234</v>
      </c>
      <c r="D7" s="489" t="s">
        <v>182</v>
      </c>
      <c r="E7" s="489"/>
      <c r="F7" s="489"/>
      <c r="G7" s="491" t="s">
        <v>183</v>
      </c>
    </row>
    <row r="8" spans="2:8" x14ac:dyDescent="0.25">
      <c r="B8" s="488"/>
      <c r="C8" s="490"/>
      <c r="D8" s="146" t="s">
        <v>77</v>
      </c>
      <c r="E8" s="146" t="s">
        <v>78</v>
      </c>
      <c r="F8" s="146" t="s">
        <v>20</v>
      </c>
      <c r="G8" s="492"/>
    </row>
    <row r="9" spans="2:8" ht="15.75" thickBot="1" x14ac:dyDescent="0.3">
      <c r="B9" s="143">
        <v>2020</v>
      </c>
      <c r="C9" s="144">
        <v>7</v>
      </c>
      <c r="D9" s="144">
        <v>5</v>
      </c>
      <c r="E9" s="144">
        <v>0</v>
      </c>
      <c r="F9" s="144">
        <v>12</v>
      </c>
      <c r="G9" s="145" t="s">
        <v>233</v>
      </c>
    </row>
    <row r="10" spans="2:8" ht="15.75" thickBot="1" x14ac:dyDescent="0.3">
      <c r="B10" s="484" t="s">
        <v>185</v>
      </c>
      <c r="C10" s="485"/>
      <c r="D10" s="485"/>
      <c r="E10" s="485"/>
      <c r="F10" s="485"/>
      <c r="G10" s="486"/>
    </row>
    <row r="11" spans="2:8" ht="15.75" thickBot="1" x14ac:dyDescent="0.3"/>
    <row r="12" spans="2:8" ht="15.75" thickBot="1" x14ac:dyDescent="0.3">
      <c r="B12" s="484" t="s">
        <v>396</v>
      </c>
      <c r="C12" s="485"/>
      <c r="D12" s="485"/>
      <c r="E12" s="485"/>
      <c r="F12" s="485"/>
      <c r="G12" s="486"/>
    </row>
    <row r="13" spans="2:8" ht="15" customHeight="1" x14ac:dyDescent="0.25">
      <c r="B13" s="432" t="s">
        <v>186</v>
      </c>
      <c r="C13" s="493" t="s">
        <v>399</v>
      </c>
      <c r="D13" s="493" t="s">
        <v>397</v>
      </c>
      <c r="E13" s="495" t="s">
        <v>398</v>
      </c>
      <c r="F13" s="496"/>
      <c r="G13" s="497"/>
    </row>
    <row r="14" spans="2:8" ht="15.75" thickBot="1" x14ac:dyDescent="0.3">
      <c r="B14" s="434"/>
      <c r="C14" s="494"/>
      <c r="D14" s="494"/>
      <c r="E14" s="217" t="s">
        <v>77</v>
      </c>
      <c r="F14" s="217" t="s">
        <v>78</v>
      </c>
      <c r="G14" s="218" t="s">
        <v>20</v>
      </c>
    </row>
    <row r="15" spans="2:8" x14ac:dyDescent="0.25">
      <c r="B15" s="328">
        <v>1</v>
      </c>
      <c r="C15" s="329" t="s">
        <v>400</v>
      </c>
      <c r="D15" s="329">
        <v>0</v>
      </c>
      <c r="E15" s="329">
        <v>0</v>
      </c>
      <c r="F15" s="329">
        <v>0</v>
      </c>
      <c r="G15" s="330">
        <v>0</v>
      </c>
    </row>
    <row r="16" spans="2:8" x14ac:dyDescent="0.25">
      <c r="B16" s="213">
        <v>2</v>
      </c>
      <c r="C16" s="214" t="s">
        <v>401</v>
      </c>
      <c r="D16" s="214">
        <v>0</v>
      </c>
      <c r="E16" s="220">
        <v>0</v>
      </c>
      <c r="F16" s="220">
        <v>0</v>
      </c>
      <c r="G16" s="221">
        <v>0</v>
      </c>
    </row>
    <row r="17" spans="2:7" x14ac:dyDescent="0.25">
      <c r="B17" s="213">
        <v>3</v>
      </c>
      <c r="C17" s="214" t="s">
        <v>402</v>
      </c>
      <c r="D17" s="214">
        <v>0</v>
      </c>
      <c r="E17" s="220">
        <v>0</v>
      </c>
      <c r="F17" s="220">
        <v>0</v>
      </c>
      <c r="G17" s="221">
        <v>0</v>
      </c>
    </row>
    <row r="18" spans="2:7" x14ac:dyDescent="0.25">
      <c r="B18" s="213">
        <v>4</v>
      </c>
      <c r="C18" s="214" t="s">
        <v>403</v>
      </c>
      <c r="D18" s="214">
        <v>5</v>
      </c>
      <c r="E18" s="214">
        <v>4</v>
      </c>
      <c r="F18" s="220">
        <v>0</v>
      </c>
      <c r="G18" s="215">
        <v>9</v>
      </c>
    </row>
    <row r="19" spans="2:7" ht="15.75" thickBot="1" x14ac:dyDescent="0.3">
      <c r="B19" s="216">
        <v>5</v>
      </c>
      <c r="C19" s="217" t="s">
        <v>404</v>
      </c>
      <c r="D19" s="217">
        <v>2</v>
      </c>
      <c r="E19" s="217">
        <v>1</v>
      </c>
      <c r="F19" s="326">
        <v>0</v>
      </c>
      <c r="G19" s="218">
        <v>3</v>
      </c>
    </row>
  </sheetData>
  <mergeCells count="14">
    <mergeCell ref="B13:B14"/>
    <mergeCell ref="C13:C14"/>
    <mergeCell ref="E13:G13"/>
    <mergeCell ref="D13:D14"/>
    <mergeCell ref="B12:G12"/>
    <mergeCell ref="B10:G10"/>
    <mergeCell ref="B2:B3"/>
    <mergeCell ref="C2:C3"/>
    <mergeCell ref="D2:F2"/>
    <mergeCell ref="G2:G3"/>
    <mergeCell ref="B7:B8"/>
    <mergeCell ref="C7:C8"/>
    <mergeCell ref="D7:F7"/>
    <mergeCell ref="G7:G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5"/>
  <sheetViews>
    <sheetView workbookViewId="0">
      <selection activeCell="D12" sqref="D12"/>
    </sheetView>
  </sheetViews>
  <sheetFormatPr defaultRowHeight="15" x14ac:dyDescent="0.25"/>
  <cols>
    <col min="2" max="2" width="4.7109375" customWidth="1"/>
    <col min="3" max="3" width="17.140625" customWidth="1"/>
    <col min="4" max="4" width="17.42578125" customWidth="1"/>
    <col min="5" max="5" width="10.85546875" customWidth="1"/>
    <col min="6" max="6" width="15.140625" customWidth="1"/>
  </cols>
  <sheetData>
    <row r="3" spans="2:4" ht="15" customHeight="1" x14ac:dyDescent="0.25">
      <c r="B3" s="149" t="s">
        <v>186</v>
      </c>
      <c r="C3" s="149" t="s">
        <v>187</v>
      </c>
      <c r="D3" s="149" t="s">
        <v>188</v>
      </c>
    </row>
    <row r="4" spans="2:4" x14ac:dyDescent="0.25">
      <c r="B4" s="147">
        <v>1</v>
      </c>
      <c r="C4" s="147" t="s">
        <v>189</v>
      </c>
      <c r="D4" s="147">
        <v>1</v>
      </c>
    </row>
    <row r="5" spans="2:4" x14ac:dyDescent="0.25">
      <c r="B5" s="147">
        <v>2</v>
      </c>
      <c r="C5" s="147" t="s">
        <v>190</v>
      </c>
      <c r="D5" s="147">
        <v>0</v>
      </c>
    </row>
    <row r="6" spans="2:4" x14ac:dyDescent="0.25">
      <c r="B6" s="151">
        <v>3</v>
      </c>
      <c r="C6" s="151" t="s">
        <v>191</v>
      </c>
      <c r="D6" s="151">
        <v>2</v>
      </c>
    </row>
    <row r="7" spans="2:4" x14ac:dyDescent="0.25">
      <c r="B7" s="147">
        <v>4</v>
      </c>
      <c r="C7" s="147" t="s">
        <v>192</v>
      </c>
      <c r="D7" s="147">
        <v>1</v>
      </c>
    </row>
    <row r="8" spans="2:4" x14ac:dyDescent="0.25">
      <c r="B8" s="147">
        <v>5</v>
      </c>
      <c r="C8" s="147" t="s">
        <v>193</v>
      </c>
      <c r="D8" s="147">
        <v>0</v>
      </c>
    </row>
    <row r="9" spans="2:4" x14ac:dyDescent="0.25">
      <c r="B9" s="147">
        <v>6</v>
      </c>
      <c r="C9" s="147" t="s">
        <v>194</v>
      </c>
      <c r="D9" s="147">
        <v>0</v>
      </c>
    </row>
    <row r="10" spans="2:4" x14ac:dyDescent="0.25">
      <c r="B10" s="147">
        <v>7</v>
      </c>
      <c r="C10" s="147" t="s">
        <v>195</v>
      </c>
      <c r="D10" s="147">
        <v>0</v>
      </c>
    </row>
    <row r="11" spans="2:4" x14ac:dyDescent="0.25">
      <c r="B11" s="147">
        <v>8</v>
      </c>
      <c r="C11" s="147" t="s">
        <v>196</v>
      </c>
      <c r="D11" s="147">
        <v>0</v>
      </c>
    </row>
    <row r="12" spans="2:4" x14ac:dyDescent="0.25">
      <c r="B12" s="147">
        <v>9</v>
      </c>
      <c r="C12" s="147" t="s">
        <v>197</v>
      </c>
      <c r="D12" s="147">
        <v>1</v>
      </c>
    </row>
    <row r="13" spans="2:4" x14ac:dyDescent="0.25">
      <c r="B13" s="147">
        <v>10</v>
      </c>
      <c r="C13" s="147" t="s">
        <v>198</v>
      </c>
      <c r="D13" s="147">
        <v>1</v>
      </c>
    </row>
    <row r="14" spans="2:4" x14ac:dyDescent="0.25">
      <c r="B14" s="147">
        <v>11</v>
      </c>
      <c r="C14" s="147" t="s">
        <v>199</v>
      </c>
      <c r="D14" s="147">
        <v>1</v>
      </c>
    </row>
    <row r="15" spans="2:4" x14ac:dyDescent="0.25">
      <c r="B15" s="147">
        <v>12</v>
      </c>
      <c r="C15" s="147" t="s">
        <v>200</v>
      </c>
      <c r="D15" s="147">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
  <sheetViews>
    <sheetView workbookViewId="0">
      <selection activeCell="F6" sqref="F6"/>
    </sheetView>
  </sheetViews>
  <sheetFormatPr defaultRowHeight="15" x14ac:dyDescent="0.25"/>
  <cols>
    <col min="2" max="2" width="3.85546875" customWidth="1"/>
    <col min="3" max="3" width="8.85546875" customWidth="1"/>
    <col min="4" max="4" width="20.140625" customWidth="1"/>
    <col min="5" max="5" width="14.140625" customWidth="1"/>
    <col min="6" max="6" width="14.5703125" customWidth="1"/>
    <col min="7" max="7" width="14" customWidth="1"/>
    <col min="8" max="8" width="14.7109375" customWidth="1"/>
  </cols>
  <sheetData>
    <row r="1" spans="2:8" ht="15.75" thickBot="1" x14ac:dyDescent="0.3"/>
    <row r="2" spans="2:8" x14ac:dyDescent="0.25">
      <c r="B2" s="502" t="s">
        <v>186</v>
      </c>
      <c r="C2" s="500" t="s">
        <v>201</v>
      </c>
      <c r="D2" s="500" t="s">
        <v>202</v>
      </c>
      <c r="E2" s="498" t="s">
        <v>203</v>
      </c>
      <c r="F2" s="498"/>
      <c r="G2" s="498"/>
      <c r="H2" s="499"/>
    </row>
    <row r="3" spans="2:8" x14ac:dyDescent="0.25">
      <c r="B3" s="503"/>
      <c r="C3" s="501"/>
      <c r="D3" s="501"/>
      <c r="E3" s="150" t="s">
        <v>204</v>
      </c>
      <c r="F3" s="151" t="s">
        <v>205</v>
      </c>
      <c r="G3" s="150" t="s">
        <v>206</v>
      </c>
      <c r="H3" s="155" t="s">
        <v>207</v>
      </c>
    </row>
    <row r="4" spans="2:8" ht="15.75" thickBot="1" x14ac:dyDescent="0.3">
      <c r="B4" s="152">
        <v>1</v>
      </c>
      <c r="C4" s="153">
        <v>2020</v>
      </c>
      <c r="D4" s="153">
        <v>7</v>
      </c>
      <c r="E4" s="153">
        <v>1</v>
      </c>
      <c r="F4" s="156">
        <v>3</v>
      </c>
      <c r="G4" s="153">
        <v>1</v>
      </c>
      <c r="H4" s="154">
        <v>2</v>
      </c>
    </row>
  </sheetData>
  <mergeCells count="4">
    <mergeCell ref="E2:H2"/>
    <mergeCell ref="D2:D3"/>
    <mergeCell ref="C2:C3"/>
    <mergeCell ref="B2: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1"/>
  <sheetViews>
    <sheetView workbookViewId="0">
      <selection activeCell="B4" sqref="B4:I6"/>
    </sheetView>
  </sheetViews>
  <sheetFormatPr defaultRowHeight="15" x14ac:dyDescent="0.25"/>
  <cols>
    <col min="2" max="2" width="4" customWidth="1"/>
  </cols>
  <sheetData>
    <row r="3" spans="2:9" ht="15.75" thickBot="1" x14ac:dyDescent="0.3"/>
    <row r="4" spans="2:9" x14ac:dyDescent="0.25">
      <c r="B4" s="508" t="s">
        <v>186</v>
      </c>
      <c r="C4" s="506" t="s">
        <v>201</v>
      </c>
      <c r="D4" s="504" t="s">
        <v>208</v>
      </c>
      <c r="E4" s="504"/>
      <c r="F4" s="504"/>
      <c r="G4" s="504"/>
      <c r="H4" s="504"/>
      <c r="I4" s="505"/>
    </row>
    <row r="5" spans="2:9" x14ac:dyDescent="0.25">
      <c r="B5" s="509"/>
      <c r="C5" s="507"/>
      <c r="D5" s="188" t="s">
        <v>209</v>
      </c>
      <c r="E5" s="188" t="s">
        <v>210</v>
      </c>
      <c r="F5" s="188" t="s">
        <v>211</v>
      </c>
      <c r="G5" s="188" t="s">
        <v>212</v>
      </c>
      <c r="H5" s="188" t="s">
        <v>213</v>
      </c>
      <c r="I5" s="189" t="s">
        <v>214</v>
      </c>
    </row>
    <row r="6" spans="2:9" ht="15.75" thickBot="1" x14ac:dyDescent="0.3">
      <c r="B6" s="152">
        <v>1</v>
      </c>
      <c r="C6" s="153">
        <v>2020</v>
      </c>
      <c r="D6" s="153">
        <v>2</v>
      </c>
      <c r="E6" s="153">
        <v>6</v>
      </c>
      <c r="F6" s="153">
        <v>6</v>
      </c>
      <c r="G6" s="153">
        <v>5</v>
      </c>
      <c r="H6" s="153">
        <v>2</v>
      </c>
      <c r="I6" s="154">
        <v>1</v>
      </c>
    </row>
    <row r="8" spans="2:9" ht="15.75" thickBot="1" x14ac:dyDescent="0.3"/>
    <row r="9" spans="2:9" x14ac:dyDescent="0.25">
      <c r="B9" s="508" t="s">
        <v>186</v>
      </c>
      <c r="C9" s="506" t="s">
        <v>201</v>
      </c>
      <c r="D9" s="504" t="s">
        <v>235</v>
      </c>
      <c r="E9" s="504"/>
      <c r="F9" s="504"/>
      <c r="G9" s="504"/>
      <c r="H9" s="504"/>
      <c r="I9" s="505"/>
    </row>
    <row r="10" spans="2:9" x14ac:dyDescent="0.25">
      <c r="B10" s="509"/>
      <c r="C10" s="507"/>
      <c r="D10" s="188" t="s">
        <v>209</v>
      </c>
      <c r="E10" s="188" t="s">
        <v>210</v>
      </c>
      <c r="F10" s="188" t="s">
        <v>211</v>
      </c>
      <c r="G10" s="188" t="s">
        <v>212</v>
      </c>
      <c r="H10" s="188" t="s">
        <v>213</v>
      </c>
      <c r="I10" s="189" t="s">
        <v>214</v>
      </c>
    </row>
    <row r="11" spans="2:9" ht="15.75" thickBot="1" x14ac:dyDescent="0.3">
      <c r="B11" s="152">
        <v>1</v>
      </c>
      <c r="C11" s="153">
        <v>2020</v>
      </c>
      <c r="D11" s="153">
        <v>0</v>
      </c>
      <c r="E11" s="153">
        <v>2</v>
      </c>
      <c r="F11" s="153">
        <v>2</v>
      </c>
      <c r="G11" s="153">
        <v>2</v>
      </c>
      <c r="H11" s="153">
        <v>1</v>
      </c>
      <c r="I11" s="154">
        <v>0</v>
      </c>
    </row>
  </sheetData>
  <mergeCells count="6">
    <mergeCell ref="D4:I4"/>
    <mergeCell ref="C4:C5"/>
    <mergeCell ref="B4:B5"/>
    <mergeCell ref="B9:B10"/>
    <mergeCell ref="C9:C10"/>
    <mergeCell ref="D9:I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85"/>
  <sheetViews>
    <sheetView topLeftCell="AM1" zoomScale="87" zoomScaleNormal="87" workbookViewId="0">
      <selection activeCell="AV4" sqref="AV4:BG10"/>
    </sheetView>
  </sheetViews>
  <sheetFormatPr defaultRowHeight="15" x14ac:dyDescent="0.25"/>
  <cols>
    <col min="2" max="2" width="6" customWidth="1"/>
    <col min="3" max="3" width="13.42578125" customWidth="1"/>
    <col min="4" max="4" width="19.5703125" customWidth="1"/>
    <col min="5" max="5" width="19.7109375" customWidth="1"/>
    <col min="6" max="6" width="16.5703125" customWidth="1"/>
    <col min="7" max="7" width="12.42578125" customWidth="1"/>
    <col min="8" max="8" width="12.7109375" customWidth="1"/>
    <col min="10" max="10" width="13.42578125" customWidth="1"/>
    <col min="11" max="11" width="13.28515625" customWidth="1"/>
    <col min="12" max="12" width="23.42578125" customWidth="1"/>
    <col min="13" max="13" width="13.42578125" customWidth="1"/>
    <col min="14" max="14" width="13.28515625" customWidth="1"/>
    <col min="15" max="15" width="12.7109375" customWidth="1"/>
    <col min="16" max="16" width="13.42578125" customWidth="1"/>
    <col min="17" max="17" width="22.42578125" customWidth="1"/>
    <col min="18" max="18" width="17.140625" customWidth="1"/>
    <col min="19" max="19" width="15.42578125" customWidth="1"/>
    <col min="20" max="20" width="13" customWidth="1"/>
    <col min="21" max="21" width="14.7109375" customWidth="1"/>
    <col min="22" max="22" width="22.5703125" customWidth="1"/>
    <col min="23" max="23" width="14.28515625" customWidth="1"/>
    <col min="24" max="24" width="6.140625" customWidth="1"/>
    <col min="25" max="25" width="14.5703125" customWidth="1"/>
    <col min="26" max="26" width="11.5703125" customWidth="1"/>
    <col min="27" max="27" width="15.42578125" customWidth="1"/>
    <col min="28" max="28" width="13.42578125" customWidth="1"/>
    <col min="48" max="48" width="13.5703125" customWidth="1"/>
    <col min="49" max="49" width="7.7109375" customWidth="1"/>
    <col min="50" max="50" width="5.42578125" customWidth="1"/>
    <col min="51" max="51" width="10.42578125" customWidth="1"/>
    <col min="52" max="52" width="10.140625" customWidth="1"/>
    <col min="55" max="55" width="11.5703125" customWidth="1"/>
    <col min="56" max="56" width="11.28515625" customWidth="1"/>
    <col min="57" max="57" width="10.140625" customWidth="1"/>
  </cols>
  <sheetData>
    <row r="1" spans="2:59" x14ac:dyDescent="0.25">
      <c r="AV1" s="549" t="s">
        <v>260</v>
      </c>
      <c r="AW1" s="549"/>
      <c r="AX1" s="549"/>
      <c r="AY1" s="549"/>
      <c r="AZ1" s="549"/>
    </row>
    <row r="2" spans="2:59" x14ac:dyDescent="0.25">
      <c r="D2" t="s">
        <v>350</v>
      </c>
      <c r="N2" s="255"/>
    </row>
    <row r="3" spans="2:59" ht="15.75" thickBot="1" x14ac:dyDescent="0.3">
      <c r="I3" s="197"/>
      <c r="N3" s="255"/>
    </row>
    <row r="4" spans="2:59" ht="15.75" thickBot="1" x14ac:dyDescent="0.3">
      <c r="I4" s="197"/>
      <c r="J4" s="552" t="s">
        <v>259</v>
      </c>
      <c r="K4" s="552"/>
      <c r="L4" s="552"/>
      <c r="M4" s="552"/>
      <c r="N4" s="552"/>
      <c r="O4" s="552"/>
      <c r="P4" s="552"/>
      <c r="Q4" s="552"/>
      <c r="R4" s="552"/>
      <c r="S4" s="552"/>
      <c r="T4" s="552"/>
      <c r="U4" s="552"/>
      <c r="V4" s="552"/>
      <c r="W4" s="552"/>
      <c r="AV4" s="536" t="s">
        <v>247</v>
      </c>
      <c r="AW4" s="541" t="s">
        <v>409</v>
      </c>
      <c r="AX4" s="542"/>
      <c r="AY4" s="542"/>
      <c r="AZ4" s="542"/>
      <c r="BA4" s="542"/>
      <c r="BB4" s="542"/>
      <c r="BC4" s="542"/>
      <c r="BD4" s="542"/>
      <c r="BE4" s="542"/>
      <c r="BF4" s="543"/>
      <c r="BG4" s="510" t="s">
        <v>498</v>
      </c>
    </row>
    <row r="5" spans="2:59" ht="15" customHeight="1" x14ac:dyDescent="0.25">
      <c r="B5" s="513" t="s">
        <v>255</v>
      </c>
      <c r="C5" s="513"/>
      <c r="D5" s="513"/>
      <c r="E5" s="513"/>
      <c r="F5" s="513"/>
      <c r="G5" s="513"/>
      <c r="H5" s="513"/>
      <c r="I5" s="197"/>
      <c r="J5" s="553" t="s">
        <v>260</v>
      </c>
      <c r="K5" s="554"/>
      <c r="L5" s="554"/>
      <c r="M5" s="554"/>
      <c r="N5" s="554"/>
      <c r="O5" s="554"/>
      <c r="P5" s="554"/>
      <c r="Q5" s="554"/>
      <c r="R5" s="554"/>
      <c r="S5" s="554"/>
      <c r="T5" s="554"/>
      <c r="U5" s="554"/>
      <c r="V5" s="554"/>
      <c r="W5" s="554"/>
      <c r="AV5" s="537"/>
      <c r="AW5" s="525" t="s">
        <v>410</v>
      </c>
      <c r="AX5" s="526"/>
      <c r="AY5" s="526"/>
      <c r="AZ5" s="526"/>
      <c r="BA5" s="527"/>
      <c r="BB5" s="528" t="s">
        <v>413</v>
      </c>
      <c r="BC5" s="526"/>
      <c r="BD5" s="526"/>
      <c r="BE5" s="526"/>
      <c r="BF5" s="529"/>
      <c r="BG5" s="511"/>
    </row>
    <row r="6" spans="2:59" ht="15" customHeight="1" x14ac:dyDescent="0.25">
      <c r="B6" s="516" t="s">
        <v>55</v>
      </c>
      <c r="C6" s="514" t="s">
        <v>242</v>
      </c>
      <c r="D6" s="514"/>
      <c r="E6" s="514" t="s">
        <v>243</v>
      </c>
      <c r="F6" s="514"/>
      <c r="G6" s="514" t="s">
        <v>250</v>
      </c>
      <c r="H6" s="514"/>
      <c r="I6" s="197"/>
      <c r="J6" s="515" t="s">
        <v>316</v>
      </c>
      <c r="K6" s="515"/>
      <c r="L6" s="515"/>
      <c r="M6" s="515"/>
      <c r="N6" s="255"/>
      <c r="O6" s="515" t="s">
        <v>243</v>
      </c>
      <c r="P6" s="515"/>
      <c r="Q6" s="515"/>
      <c r="R6" s="515"/>
      <c r="S6" s="255"/>
      <c r="T6" s="515" t="s">
        <v>317</v>
      </c>
      <c r="U6" s="515"/>
      <c r="V6" s="515"/>
      <c r="W6" s="515"/>
      <c r="AC6" s="532"/>
      <c r="AD6" s="532"/>
      <c r="AN6" s="533" t="s">
        <v>55</v>
      </c>
      <c r="AO6" s="514" t="s">
        <v>242</v>
      </c>
      <c r="AP6" s="514"/>
      <c r="AQ6" s="514" t="s">
        <v>243</v>
      </c>
      <c r="AR6" s="514"/>
      <c r="AS6" s="514" t="s">
        <v>250</v>
      </c>
      <c r="AT6" s="514"/>
      <c r="AV6" s="537"/>
      <c r="AW6" s="539" t="s">
        <v>411</v>
      </c>
      <c r="AX6" s="519" t="s">
        <v>412</v>
      </c>
      <c r="AY6" s="519" t="s">
        <v>248</v>
      </c>
      <c r="AZ6" s="519" t="s">
        <v>268</v>
      </c>
      <c r="BA6" s="517" t="s">
        <v>450</v>
      </c>
      <c r="BB6" s="519" t="s">
        <v>411</v>
      </c>
      <c r="BC6" s="519" t="s">
        <v>412</v>
      </c>
      <c r="BD6" s="519" t="s">
        <v>248</v>
      </c>
      <c r="BE6" s="519" t="s">
        <v>268</v>
      </c>
      <c r="BF6" s="521" t="s">
        <v>451</v>
      </c>
      <c r="BG6" s="511"/>
    </row>
    <row r="7" spans="2:59" ht="15" customHeight="1" thickBot="1" x14ac:dyDescent="0.3">
      <c r="B7" s="516"/>
      <c r="C7" s="195" t="s">
        <v>256</v>
      </c>
      <c r="D7" s="195" t="s">
        <v>257</v>
      </c>
      <c r="E7" s="195" t="s">
        <v>256</v>
      </c>
      <c r="F7" s="195" t="s">
        <v>257</v>
      </c>
      <c r="G7" s="195" t="s">
        <v>256</v>
      </c>
      <c r="H7" s="195" t="s">
        <v>257</v>
      </c>
      <c r="I7" s="197"/>
      <c r="J7" s="250" t="s">
        <v>313</v>
      </c>
      <c r="K7" s="250" t="s">
        <v>264</v>
      </c>
      <c r="L7" s="250" t="s">
        <v>309</v>
      </c>
      <c r="M7" s="250" t="s">
        <v>314</v>
      </c>
      <c r="N7" s="255"/>
      <c r="O7" s="222" t="s">
        <v>313</v>
      </c>
      <c r="P7" s="222" t="s">
        <v>264</v>
      </c>
      <c r="Q7" s="222" t="s">
        <v>309</v>
      </c>
      <c r="R7" s="222" t="s">
        <v>314</v>
      </c>
      <c r="S7" s="255"/>
      <c r="T7" s="222" t="s">
        <v>313</v>
      </c>
      <c r="U7" s="222" t="s">
        <v>264</v>
      </c>
      <c r="V7" s="222" t="s">
        <v>309</v>
      </c>
      <c r="W7" s="222" t="s">
        <v>314</v>
      </c>
      <c r="AC7" s="204"/>
      <c r="AD7" s="204"/>
      <c r="AN7" s="534"/>
      <c r="AO7" s="195" t="s">
        <v>256</v>
      </c>
      <c r="AP7" s="195" t="s">
        <v>257</v>
      </c>
      <c r="AQ7" s="195" t="s">
        <v>256</v>
      </c>
      <c r="AR7" s="195" t="s">
        <v>257</v>
      </c>
      <c r="AS7" s="195" t="s">
        <v>256</v>
      </c>
      <c r="AT7" s="195" t="s">
        <v>257</v>
      </c>
      <c r="AV7" s="538"/>
      <c r="AW7" s="540"/>
      <c r="AX7" s="520"/>
      <c r="AY7" s="520"/>
      <c r="AZ7" s="520"/>
      <c r="BA7" s="518"/>
      <c r="BB7" s="520"/>
      <c r="BC7" s="520"/>
      <c r="BD7" s="520"/>
      <c r="BE7" s="520"/>
      <c r="BF7" s="522"/>
      <c r="BG7" s="512"/>
    </row>
    <row r="8" spans="2:59" x14ac:dyDescent="0.25">
      <c r="B8" s="516"/>
      <c r="C8" s="198" t="s">
        <v>244</v>
      </c>
      <c r="D8" s="199" t="s">
        <v>244</v>
      </c>
      <c r="E8" s="198" t="s">
        <v>244</v>
      </c>
      <c r="F8" s="199" t="s">
        <v>244</v>
      </c>
      <c r="G8" s="310" t="s">
        <v>244</v>
      </c>
      <c r="H8" s="199" t="s">
        <v>244</v>
      </c>
      <c r="I8" s="197"/>
      <c r="J8" s="266">
        <v>43</v>
      </c>
      <c r="K8" s="192">
        <v>1</v>
      </c>
      <c r="L8" s="192">
        <v>1</v>
      </c>
      <c r="M8" s="256">
        <f>L8/K24</f>
        <v>3.3333333333333333E-2</v>
      </c>
      <c r="N8" s="255"/>
      <c r="O8" s="266">
        <v>40</v>
      </c>
      <c r="P8" s="192">
        <v>1</v>
      </c>
      <c r="Q8" s="192">
        <v>1</v>
      </c>
      <c r="R8" s="256">
        <f>Q8/30</f>
        <v>3.3333333333333333E-2</v>
      </c>
      <c r="S8" s="255"/>
      <c r="T8" s="266">
        <v>35</v>
      </c>
      <c r="U8" s="192">
        <v>1</v>
      </c>
      <c r="V8" s="192">
        <v>1</v>
      </c>
      <c r="W8" s="256">
        <f>V8/30</f>
        <v>3.3333333333333333E-2</v>
      </c>
      <c r="AN8" s="535"/>
      <c r="AO8" s="198" t="s">
        <v>244</v>
      </c>
      <c r="AP8" s="199" t="s">
        <v>244</v>
      </c>
      <c r="AQ8" s="198" t="s">
        <v>244</v>
      </c>
      <c r="AR8" s="199" t="s">
        <v>244</v>
      </c>
      <c r="AS8" s="198" t="s">
        <v>244</v>
      </c>
      <c r="AT8" s="199" t="s">
        <v>244</v>
      </c>
      <c r="AV8" s="337" t="s">
        <v>249</v>
      </c>
      <c r="AW8" s="336">
        <v>70</v>
      </c>
      <c r="AX8" s="336">
        <v>43</v>
      </c>
      <c r="AY8" s="337">
        <f>AVERAGE(AW8:AX8)</f>
        <v>56.5</v>
      </c>
      <c r="AZ8" s="392">
        <v>57.65</v>
      </c>
      <c r="BA8" s="393">
        <f>AZ8-40</f>
        <v>17.649999999999999</v>
      </c>
      <c r="BB8" s="337">
        <v>66</v>
      </c>
      <c r="BC8" s="337">
        <v>40</v>
      </c>
      <c r="BD8" s="337">
        <f>AVERAGE(BB8:BC8)</f>
        <v>53</v>
      </c>
      <c r="BE8" s="392">
        <v>60</v>
      </c>
      <c r="BF8" s="393">
        <f>BE8-40</f>
        <v>20</v>
      </c>
      <c r="BG8" s="523">
        <v>40</v>
      </c>
    </row>
    <row r="9" spans="2:59" x14ac:dyDescent="0.25">
      <c r="B9" s="200">
        <v>1</v>
      </c>
      <c r="C9" s="205">
        <v>50</v>
      </c>
      <c r="D9" s="206">
        <v>50</v>
      </c>
      <c r="E9" s="196">
        <v>52</v>
      </c>
      <c r="F9" s="201">
        <v>40</v>
      </c>
      <c r="G9" s="196">
        <v>54</v>
      </c>
      <c r="H9" s="201">
        <v>47</v>
      </c>
      <c r="I9" s="197"/>
      <c r="J9" s="266">
        <v>45</v>
      </c>
      <c r="K9" s="192">
        <v>1</v>
      </c>
      <c r="L9" s="192">
        <f>L8+K9</f>
        <v>2</v>
      </c>
      <c r="M9" s="256">
        <f>L9/K24</f>
        <v>6.6666666666666666E-2</v>
      </c>
      <c r="N9" s="255"/>
      <c r="O9" s="266">
        <v>42</v>
      </c>
      <c r="P9" s="192">
        <v>1</v>
      </c>
      <c r="Q9" s="192">
        <f>Q8+P9</f>
        <v>2</v>
      </c>
      <c r="R9" s="256">
        <f t="shared" ref="R9:R23" si="0">Q9/30</f>
        <v>6.6666666666666666E-2</v>
      </c>
      <c r="S9" s="255"/>
      <c r="T9" s="266">
        <v>38</v>
      </c>
      <c r="U9" s="192">
        <v>3</v>
      </c>
      <c r="V9" s="192">
        <f>V8+U9</f>
        <v>4</v>
      </c>
      <c r="W9" s="256">
        <f t="shared" ref="W9:W23" si="1">V9/30</f>
        <v>0.13333333333333333</v>
      </c>
      <c r="AN9" s="200">
        <v>1</v>
      </c>
      <c r="AO9" s="196">
        <v>43</v>
      </c>
      <c r="AP9" s="201">
        <v>40</v>
      </c>
      <c r="AQ9" s="196">
        <v>40</v>
      </c>
      <c r="AR9" s="201">
        <v>40</v>
      </c>
      <c r="AS9" s="196">
        <v>35</v>
      </c>
      <c r="AT9" s="201">
        <v>39</v>
      </c>
      <c r="AV9" s="253" t="s">
        <v>245</v>
      </c>
      <c r="AW9" s="338">
        <v>59</v>
      </c>
      <c r="AX9" s="338">
        <v>40</v>
      </c>
      <c r="AY9" s="253">
        <f t="shared" ref="AY9:AY10" si="2">AVERAGE(AW9:AX9)</f>
        <v>49.5</v>
      </c>
      <c r="AZ9" s="390">
        <v>54.65</v>
      </c>
      <c r="BA9" s="391">
        <f t="shared" ref="BA9:BA10" si="3">AZ9-40</f>
        <v>14.649999999999999</v>
      </c>
      <c r="BB9" s="253">
        <v>69</v>
      </c>
      <c r="BC9" s="253">
        <v>40</v>
      </c>
      <c r="BD9" s="253">
        <f t="shared" ref="BD9:BD10" si="4">AVERAGE(BB9:BC9)</f>
        <v>54.5</v>
      </c>
      <c r="BE9" s="390">
        <v>60</v>
      </c>
      <c r="BF9" s="391">
        <f t="shared" ref="BF9:BF10" si="5">BE9-40</f>
        <v>20</v>
      </c>
      <c r="BG9" s="523"/>
    </row>
    <row r="10" spans="2:59" x14ac:dyDescent="0.25">
      <c r="B10" s="200">
        <v>2</v>
      </c>
      <c r="C10" s="196">
        <v>52</v>
      </c>
      <c r="D10" s="201">
        <v>52</v>
      </c>
      <c r="E10" s="196">
        <v>55</v>
      </c>
      <c r="F10" s="201">
        <v>45</v>
      </c>
      <c r="G10" s="196">
        <v>53</v>
      </c>
      <c r="H10" s="201">
        <v>43</v>
      </c>
      <c r="I10" s="197"/>
      <c r="J10" s="266">
        <v>47</v>
      </c>
      <c r="K10" s="192">
        <v>1</v>
      </c>
      <c r="L10" s="192">
        <f t="shared" ref="L10:L23" si="6">L9+K10</f>
        <v>3</v>
      </c>
      <c r="M10" s="256">
        <f>L10/K24</f>
        <v>0.1</v>
      </c>
      <c r="N10" s="255"/>
      <c r="O10" s="266">
        <v>43</v>
      </c>
      <c r="P10" s="192">
        <v>1</v>
      </c>
      <c r="Q10" s="192">
        <f t="shared" ref="Q10:Q23" si="7">Q9+P10</f>
        <v>3</v>
      </c>
      <c r="R10" s="256">
        <f t="shared" si="0"/>
        <v>0.1</v>
      </c>
      <c r="S10" s="255"/>
      <c r="T10" s="266">
        <v>39</v>
      </c>
      <c r="U10" s="192">
        <v>3</v>
      </c>
      <c r="V10" s="192">
        <f t="shared" ref="V10:V23" si="8">V9+U10</f>
        <v>7</v>
      </c>
      <c r="W10" s="256">
        <f t="shared" si="1"/>
        <v>0.23333333333333334</v>
      </c>
      <c r="AN10" s="200">
        <v>2</v>
      </c>
      <c r="AO10" s="196">
        <v>45</v>
      </c>
      <c r="AP10" s="201">
        <v>43</v>
      </c>
      <c r="AQ10" s="196">
        <v>42</v>
      </c>
      <c r="AR10" s="201">
        <v>41</v>
      </c>
      <c r="AS10" s="196">
        <v>38</v>
      </c>
      <c r="AT10" s="201">
        <v>40</v>
      </c>
      <c r="AV10" s="253" t="s">
        <v>246</v>
      </c>
      <c r="AW10" s="338">
        <v>54</v>
      </c>
      <c r="AX10" s="338">
        <v>35</v>
      </c>
      <c r="AY10" s="253">
        <f t="shared" si="2"/>
        <v>44.5</v>
      </c>
      <c r="AZ10" s="390">
        <v>49</v>
      </c>
      <c r="BA10" s="391">
        <f t="shared" si="3"/>
        <v>9</v>
      </c>
      <c r="BB10" s="253">
        <v>52</v>
      </c>
      <c r="BC10" s="253">
        <v>39</v>
      </c>
      <c r="BD10" s="253">
        <f t="shared" si="4"/>
        <v>45.5</v>
      </c>
      <c r="BE10" s="390">
        <v>49</v>
      </c>
      <c r="BF10" s="391">
        <f t="shared" si="5"/>
        <v>9</v>
      </c>
      <c r="BG10" s="524"/>
    </row>
    <row r="11" spans="2:59" x14ac:dyDescent="0.25">
      <c r="B11" s="200">
        <v>3</v>
      </c>
      <c r="C11" s="196">
        <v>54</v>
      </c>
      <c r="D11" s="201">
        <v>55</v>
      </c>
      <c r="E11" s="196">
        <v>50</v>
      </c>
      <c r="F11" s="201">
        <v>50</v>
      </c>
      <c r="G11" s="196">
        <v>51</v>
      </c>
      <c r="H11" s="201">
        <v>44</v>
      </c>
      <c r="I11" s="197"/>
      <c r="J11" s="266">
        <v>48</v>
      </c>
      <c r="K11" s="192">
        <v>3</v>
      </c>
      <c r="L11" s="192">
        <f t="shared" si="6"/>
        <v>6</v>
      </c>
      <c r="M11" s="256">
        <f>L11/K24</f>
        <v>0.2</v>
      </c>
      <c r="N11" s="255"/>
      <c r="O11" s="266">
        <v>45</v>
      </c>
      <c r="P11" s="192">
        <v>2</v>
      </c>
      <c r="Q11" s="192">
        <f t="shared" si="7"/>
        <v>5</v>
      </c>
      <c r="R11" s="256">
        <f t="shared" si="0"/>
        <v>0.16666666666666666</v>
      </c>
      <c r="S11" s="255"/>
      <c r="T11" s="266">
        <v>40</v>
      </c>
      <c r="U11" s="192">
        <v>2</v>
      </c>
      <c r="V11" s="192">
        <f t="shared" si="8"/>
        <v>9</v>
      </c>
      <c r="W11" s="256">
        <f t="shared" si="1"/>
        <v>0.3</v>
      </c>
      <c r="AN11" s="200">
        <v>3</v>
      </c>
      <c r="AO11" s="196">
        <v>47</v>
      </c>
      <c r="AP11" s="201">
        <v>44</v>
      </c>
      <c r="AQ11" s="196">
        <v>43</v>
      </c>
      <c r="AR11" s="201">
        <v>45</v>
      </c>
      <c r="AS11" s="196">
        <v>38</v>
      </c>
      <c r="AT11" s="201">
        <v>40</v>
      </c>
      <c r="BE11" s="332"/>
    </row>
    <row r="12" spans="2:59" x14ac:dyDescent="0.25">
      <c r="B12" s="200">
        <v>4</v>
      </c>
      <c r="C12" s="196">
        <v>58</v>
      </c>
      <c r="D12" s="201">
        <v>50</v>
      </c>
      <c r="E12" s="196">
        <v>53</v>
      </c>
      <c r="F12" s="201">
        <v>41</v>
      </c>
      <c r="G12" s="196">
        <v>51</v>
      </c>
      <c r="H12" s="201">
        <v>45</v>
      </c>
      <c r="I12" s="197"/>
      <c r="J12" s="266">
        <v>49</v>
      </c>
      <c r="K12" s="192">
        <v>1</v>
      </c>
      <c r="L12" s="192">
        <f t="shared" si="6"/>
        <v>7</v>
      </c>
      <c r="M12" s="256">
        <f>L12/K24</f>
        <v>0.23333333333333334</v>
      </c>
      <c r="N12" s="255"/>
      <c r="O12" s="266">
        <v>47</v>
      </c>
      <c r="P12" s="192">
        <v>1</v>
      </c>
      <c r="Q12" s="192">
        <f t="shared" si="7"/>
        <v>6</v>
      </c>
      <c r="R12" s="256">
        <f t="shared" si="0"/>
        <v>0.2</v>
      </c>
      <c r="S12" s="255"/>
      <c r="T12" s="266">
        <v>41</v>
      </c>
      <c r="U12" s="192">
        <v>1</v>
      </c>
      <c r="V12" s="192">
        <f t="shared" si="8"/>
        <v>10</v>
      </c>
      <c r="W12" s="256">
        <f t="shared" si="1"/>
        <v>0.33333333333333331</v>
      </c>
      <c r="AN12" s="200">
        <v>4</v>
      </c>
      <c r="AO12" s="196">
        <v>48</v>
      </c>
      <c r="AP12" s="201">
        <v>47</v>
      </c>
      <c r="AQ12" s="196">
        <v>45</v>
      </c>
      <c r="AR12" s="201">
        <v>46</v>
      </c>
      <c r="AS12" s="196">
        <v>38</v>
      </c>
      <c r="AT12" s="201">
        <v>40</v>
      </c>
    </row>
    <row r="13" spans="2:59" x14ac:dyDescent="0.25">
      <c r="B13" s="200">
        <v>5</v>
      </c>
      <c r="C13" s="196">
        <v>48</v>
      </c>
      <c r="D13" s="201">
        <v>53</v>
      </c>
      <c r="E13" s="196">
        <v>49</v>
      </c>
      <c r="F13" s="201">
        <v>47</v>
      </c>
      <c r="G13" s="196">
        <v>49</v>
      </c>
      <c r="H13" s="201">
        <v>44</v>
      </c>
      <c r="I13" s="197"/>
      <c r="J13" s="266">
        <v>50</v>
      </c>
      <c r="K13" s="192">
        <v>4</v>
      </c>
      <c r="L13" s="192">
        <f t="shared" si="6"/>
        <v>11</v>
      </c>
      <c r="M13" s="256">
        <f>L13/K24</f>
        <v>0.36666666666666664</v>
      </c>
      <c r="N13" s="255"/>
      <c r="O13" s="266">
        <v>48</v>
      </c>
      <c r="P13" s="192">
        <v>1</v>
      </c>
      <c r="Q13" s="192">
        <f t="shared" si="7"/>
        <v>7</v>
      </c>
      <c r="R13" s="256">
        <f t="shared" si="0"/>
        <v>0.23333333333333334</v>
      </c>
      <c r="S13" s="255"/>
      <c r="T13" s="266">
        <v>42</v>
      </c>
      <c r="U13" s="192">
        <v>3</v>
      </c>
      <c r="V13" s="192">
        <f t="shared" si="8"/>
        <v>13</v>
      </c>
      <c r="W13" s="256">
        <f t="shared" si="1"/>
        <v>0.43333333333333335</v>
      </c>
      <c r="AN13" s="200">
        <v>5</v>
      </c>
      <c r="AO13" s="196">
        <v>48</v>
      </c>
      <c r="AP13" s="201">
        <v>47</v>
      </c>
      <c r="AQ13" s="196">
        <v>45</v>
      </c>
      <c r="AR13" s="201">
        <v>46</v>
      </c>
      <c r="AS13" s="196">
        <v>39</v>
      </c>
      <c r="AT13" s="201">
        <v>42</v>
      </c>
      <c r="AV13" s="555" t="s">
        <v>311</v>
      </c>
      <c r="AW13" s="555"/>
      <c r="AX13" s="555"/>
      <c r="AY13" s="555"/>
      <c r="AZ13" s="555"/>
    </row>
    <row r="14" spans="2:59" x14ac:dyDescent="0.25">
      <c r="B14" s="200">
        <v>6</v>
      </c>
      <c r="C14" s="196">
        <v>58</v>
      </c>
      <c r="D14" s="201">
        <v>49</v>
      </c>
      <c r="E14" s="196">
        <v>48</v>
      </c>
      <c r="F14" s="201">
        <v>50</v>
      </c>
      <c r="G14" s="196">
        <v>49</v>
      </c>
      <c r="H14" s="201">
        <v>47</v>
      </c>
      <c r="I14" s="197"/>
      <c r="J14" s="266">
        <v>51</v>
      </c>
      <c r="K14" s="192">
        <v>2</v>
      </c>
      <c r="L14" s="192">
        <f t="shared" si="6"/>
        <v>13</v>
      </c>
      <c r="M14" s="256">
        <f>L14/K24</f>
        <v>0.43333333333333335</v>
      </c>
      <c r="N14" s="255"/>
      <c r="O14" s="266">
        <v>49</v>
      </c>
      <c r="P14" s="192">
        <v>4</v>
      </c>
      <c r="Q14" s="192">
        <f t="shared" si="7"/>
        <v>11</v>
      </c>
      <c r="R14" s="256">
        <f t="shared" si="0"/>
        <v>0.36666666666666664</v>
      </c>
      <c r="S14" s="255"/>
      <c r="T14" s="266">
        <v>43</v>
      </c>
      <c r="U14" s="192">
        <v>2</v>
      </c>
      <c r="V14" s="192">
        <f t="shared" si="8"/>
        <v>15</v>
      </c>
      <c r="W14" s="256">
        <f t="shared" si="1"/>
        <v>0.5</v>
      </c>
      <c r="AN14" s="200">
        <v>6</v>
      </c>
      <c r="AO14" s="196">
        <v>48</v>
      </c>
      <c r="AP14" s="201">
        <v>48</v>
      </c>
      <c r="AQ14" s="196">
        <v>47</v>
      </c>
      <c r="AR14" s="201">
        <v>47</v>
      </c>
      <c r="AS14" s="196">
        <v>39</v>
      </c>
      <c r="AT14" s="201">
        <v>42</v>
      </c>
      <c r="AV14" s="514" t="s">
        <v>262</v>
      </c>
      <c r="AW14" s="550" t="s">
        <v>263</v>
      </c>
      <c r="AX14" s="514" t="s">
        <v>264</v>
      </c>
      <c r="AY14" s="550" t="s">
        <v>309</v>
      </c>
      <c r="AZ14" s="551" t="s">
        <v>310</v>
      </c>
    </row>
    <row r="15" spans="2:59" x14ac:dyDescent="0.25">
      <c r="B15" s="200">
        <v>7</v>
      </c>
      <c r="C15" s="196">
        <v>68</v>
      </c>
      <c r="D15" s="201">
        <v>48</v>
      </c>
      <c r="E15" s="196">
        <v>52</v>
      </c>
      <c r="F15" s="201">
        <v>50</v>
      </c>
      <c r="G15" s="196">
        <v>48</v>
      </c>
      <c r="H15" s="201">
        <v>50</v>
      </c>
      <c r="I15" s="197"/>
      <c r="J15" s="266">
        <v>52</v>
      </c>
      <c r="K15" s="192">
        <v>2</v>
      </c>
      <c r="L15" s="192">
        <f t="shared" si="6"/>
        <v>15</v>
      </c>
      <c r="M15" s="256">
        <f>L15/K24</f>
        <v>0.5</v>
      </c>
      <c r="N15" s="255"/>
      <c r="O15" s="266">
        <v>50</v>
      </c>
      <c r="P15" s="192">
        <v>3</v>
      </c>
      <c r="Q15" s="192">
        <f t="shared" si="7"/>
        <v>14</v>
      </c>
      <c r="R15" s="256">
        <f t="shared" si="0"/>
        <v>0.46666666666666667</v>
      </c>
      <c r="S15" s="255"/>
      <c r="T15" s="266">
        <v>44</v>
      </c>
      <c r="U15" s="192">
        <v>2</v>
      </c>
      <c r="V15" s="192">
        <f t="shared" si="8"/>
        <v>17</v>
      </c>
      <c r="W15" s="256">
        <f t="shared" si="1"/>
        <v>0.56666666666666665</v>
      </c>
      <c r="AN15" s="200">
        <v>7</v>
      </c>
      <c r="AO15" s="196">
        <v>49</v>
      </c>
      <c r="AP15" s="201">
        <v>49</v>
      </c>
      <c r="AQ15" s="196">
        <v>48</v>
      </c>
      <c r="AR15" s="201">
        <v>49</v>
      </c>
      <c r="AS15" s="196">
        <v>39</v>
      </c>
      <c r="AT15" s="201">
        <v>43</v>
      </c>
      <c r="AV15" s="514"/>
      <c r="AW15" s="550"/>
      <c r="AX15" s="514"/>
      <c r="AY15" s="550"/>
      <c r="AZ15" s="551"/>
    </row>
    <row r="16" spans="2:59" x14ac:dyDescent="0.25">
      <c r="B16" s="200">
        <v>8</v>
      </c>
      <c r="C16" s="196">
        <v>55</v>
      </c>
      <c r="D16" s="201">
        <v>60</v>
      </c>
      <c r="E16" s="196">
        <v>57</v>
      </c>
      <c r="F16" s="201">
        <v>54</v>
      </c>
      <c r="G16" s="196">
        <v>47</v>
      </c>
      <c r="H16" s="201">
        <v>42</v>
      </c>
      <c r="I16" s="197"/>
      <c r="J16" s="266">
        <v>53</v>
      </c>
      <c r="K16" s="192">
        <v>3</v>
      </c>
      <c r="L16" s="192">
        <f t="shared" si="6"/>
        <v>18</v>
      </c>
      <c r="M16" s="256">
        <f>L16/K24</f>
        <v>0.6</v>
      </c>
      <c r="N16" s="255"/>
      <c r="O16" s="266">
        <v>51</v>
      </c>
      <c r="P16" s="192">
        <v>3</v>
      </c>
      <c r="Q16" s="192">
        <f t="shared" si="7"/>
        <v>17</v>
      </c>
      <c r="R16" s="256">
        <f t="shared" si="0"/>
        <v>0.56666666666666665</v>
      </c>
      <c r="S16" s="255"/>
      <c r="T16" s="266">
        <v>45</v>
      </c>
      <c r="U16" s="192">
        <v>2</v>
      </c>
      <c r="V16" s="192">
        <f t="shared" si="8"/>
        <v>19</v>
      </c>
      <c r="W16" s="256">
        <f t="shared" si="1"/>
        <v>0.6333333333333333</v>
      </c>
      <c r="AN16" s="200">
        <v>8</v>
      </c>
      <c r="AO16" s="196">
        <v>50</v>
      </c>
      <c r="AP16" s="201">
        <v>49</v>
      </c>
      <c r="AQ16" s="196">
        <v>49</v>
      </c>
      <c r="AR16" s="201">
        <v>49</v>
      </c>
      <c r="AS16" s="196">
        <v>40</v>
      </c>
      <c r="AT16" s="201">
        <v>43</v>
      </c>
      <c r="AV16" s="192">
        <v>2</v>
      </c>
      <c r="AW16" s="192" t="s">
        <v>265</v>
      </c>
      <c r="AX16" s="192">
        <v>11</v>
      </c>
      <c r="AY16" s="214">
        <v>11</v>
      </c>
      <c r="AZ16" s="252">
        <f>AY16/AX19</f>
        <v>0.37931034482758619</v>
      </c>
    </row>
    <row r="17" spans="2:54" x14ac:dyDescent="0.25">
      <c r="B17" s="200">
        <v>9</v>
      </c>
      <c r="C17" s="196">
        <v>53</v>
      </c>
      <c r="D17" s="201">
        <v>63</v>
      </c>
      <c r="E17" s="196">
        <v>51</v>
      </c>
      <c r="F17" s="201">
        <v>57</v>
      </c>
      <c r="G17" s="196">
        <v>47</v>
      </c>
      <c r="H17" s="201">
        <v>40</v>
      </c>
      <c r="I17" s="197"/>
      <c r="J17" s="266">
        <v>54</v>
      </c>
      <c r="K17" s="192">
        <v>2</v>
      </c>
      <c r="L17" s="192">
        <f t="shared" si="6"/>
        <v>20</v>
      </c>
      <c r="M17" s="256">
        <f>L17/K24</f>
        <v>0.66666666666666663</v>
      </c>
      <c r="N17" s="255"/>
      <c r="O17" s="266">
        <v>52</v>
      </c>
      <c r="P17" s="192">
        <v>4</v>
      </c>
      <c r="Q17" s="192">
        <f t="shared" si="7"/>
        <v>21</v>
      </c>
      <c r="R17" s="256">
        <f t="shared" si="0"/>
        <v>0.7</v>
      </c>
      <c r="S17" s="255"/>
      <c r="T17" s="266">
        <v>46</v>
      </c>
      <c r="U17" s="192">
        <v>1</v>
      </c>
      <c r="V17" s="192">
        <f t="shared" si="8"/>
        <v>20</v>
      </c>
      <c r="W17" s="256">
        <f t="shared" si="1"/>
        <v>0.66666666666666663</v>
      </c>
      <c r="AN17" s="200">
        <v>9</v>
      </c>
      <c r="AO17" s="196">
        <v>50</v>
      </c>
      <c r="AP17" s="201">
        <v>49</v>
      </c>
      <c r="AQ17" s="196">
        <v>49</v>
      </c>
      <c r="AR17" s="201">
        <v>49</v>
      </c>
      <c r="AS17" s="196">
        <v>40</v>
      </c>
      <c r="AT17" s="201">
        <v>44</v>
      </c>
      <c r="AV17" s="192">
        <v>3</v>
      </c>
      <c r="AW17" s="192" t="s">
        <v>266</v>
      </c>
      <c r="AX17" s="192">
        <v>17</v>
      </c>
      <c r="AY17" s="214">
        <f>AY16+AX17</f>
        <v>28</v>
      </c>
      <c r="AZ17" s="252">
        <f>AY17/AX19</f>
        <v>0.96551724137931039</v>
      </c>
      <c r="BA17" s="197"/>
    </row>
    <row r="18" spans="2:54" x14ac:dyDescent="0.25">
      <c r="B18" s="200">
        <v>10</v>
      </c>
      <c r="C18" s="196">
        <v>50</v>
      </c>
      <c r="D18" s="201">
        <v>66</v>
      </c>
      <c r="E18" s="196">
        <v>43</v>
      </c>
      <c r="F18" s="201">
        <v>69</v>
      </c>
      <c r="G18" s="196">
        <v>47</v>
      </c>
      <c r="H18" s="201">
        <v>40</v>
      </c>
      <c r="I18" s="197"/>
      <c r="J18" s="266">
        <v>55</v>
      </c>
      <c r="K18" s="192">
        <v>2</v>
      </c>
      <c r="L18" s="192">
        <f t="shared" si="6"/>
        <v>22</v>
      </c>
      <c r="M18" s="256">
        <f>L18/K24</f>
        <v>0.73333333333333328</v>
      </c>
      <c r="N18" s="255"/>
      <c r="O18" s="266">
        <v>53</v>
      </c>
      <c r="P18" s="192">
        <v>2</v>
      </c>
      <c r="Q18" s="192">
        <f t="shared" si="7"/>
        <v>23</v>
      </c>
      <c r="R18" s="256">
        <f t="shared" si="0"/>
        <v>0.76666666666666672</v>
      </c>
      <c r="S18" s="255"/>
      <c r="T18" s="266">
        <v>47</v>
      </c>
      <c r="U18" s="192">
        <v>3</v>
      </c>
      <c r="V18" s="192">
        <f t="shared" si="8"/>
        <v>23</v>
      </c>
      <c r="W18" s="256">
        <f t="shared" si="1"/>
        <v>0.76666666666666672</v>
      </c>
      <c r="AN18" s="200">
        <v>10</v>
      </c>
      <c r="AO18" s="196">
        <v>50</v>
      </c>
      <c r="AP18" s="201">
        <v>50</v>
      </c>
      <c r="AQ18" s="196">
        <v>49</v>
      </c>
      <c r="AR18" s="201">
        <v>50</v>
      </c>
      <c r="AS18" s="196">
        <v>41</v>
      </c>
      <c r="AT18" s="201">
        <v>44</v>
      </c>
      <c r="AV18" s="192">
        <v>4</v>
      </c>
      <c r="AW18" s="192" t="s">
        <v>267</v>
      </c>
      <c r="AX18" s="192">
        <v>1</v>
      </c>
      <c r="AY18" s="214">
        <f t="shared" ref="AY18" si="9">AY17+AX18</f>
        <v>29</v>
      </c>
      <c r="AZ18" s="252">
        <f>AY18/AX19</f>
        <v>1</v>
      </c>
      <c r="BA18" s="197"/>
    </row>
    <row r="19" spans="2:54" x14ac:dyDescent="0.25">
      <c r="B19" s="200">
        <v>11</v>
      </c>
      <c r="C19" s="196">
        <v>57</v>
      </c>
      <c r="D19" s="201">
        <v>54</v>
      </c>
      <c r="E19" s="196">
        <v>45</v>
      </c>
      <c r="F19" s="201">
        <v>65</v>
      </c>
      <c r="G19" s="196">
        <v>46</v>
      </c>
      <c r="H19" s="201">
        <v>45</v>
      </c>
      <c r="I19" s="197"/>
      <c r="J19" s="266">
        <v>56</v>
      </c>
      <c r="K19" s="192">
        <v>1</v>
      </c>
      <c r="L19" s="192">
        <f t="shared" si="6"/>
        <v>23</v>
      </c>
      <c r="M19" s="256">
        <f>L19/K24</f>
        <v>0.76666666666666672</v>
      </c>
      <c r="N19" s="255"/>
      <c r="O19" s="266">
        <v>54</v>
      </c>
      <c r="P19" s="192">
        <v>2</v>
      </c>
      <c r="Q19" s="192">
        <f t="shared" si="7"/>
        <v>25</v>
      </c>
      <c r="R19" s="256">
        <f t="shared" si="0"/>
        <v>0.83333333333333337</v>
      </c>
      <c r="S19" s="255"/>
      <c r="T19" s="266">
        <v>48</v>
      </c>
      <c r="U19" s="192">
        <v>1</v>
      </c>
      <c r="V19" s="192">
        <f t="shared" si="8"/>
        <v>24</v>
      </c>
      <c r="W19" s="256">
        <f t="shared" si="1"/>
        <v>0.8</v>
      </c>
      <c r="AN19" s="200">
        <v>11</v>
      </c>
      <c r="AO19" s="196">
        <v>50</v>
      </c>
      <c r="AP19" s="201">
        <v>50</v>
      </c>
      <c r="AQ19" s="196">
        <v>49</v>
      </c>
      <c r="AR19" s="201">
        <v>50</v>
      </c>
      <c r="AS19" s="196">
        <v>42</v>
      </c>
      <c r="AT19" s="201">
        <v>44</v>
      </c>
      <c r="AV19" s="515" t="s">
        <v>312</v>
      </c>
      <c r="AW19" s="515"/>
      <c r="AX19" s="253">
        <f>SUM(AX16:AX18)</f>
        <v>29</v>
      </c>
      <c r="AY19" s="530"/>
      <c r="AZ19" s="531"/>
      <c r="BA19" s="197"/>
    </row>
    <row r="20" spans="2:54" x14ac:dyDescent="0.25">
      <c r="B20" s="200">
        <v>12</v>
      </c>
      <c r="C20" s="196">
        <v>54</v>
      </c>
      <c r="D20" s="201">
        <v>59</v>
      </c>
      <c r="E20" s="196">
        <v>54</v>
      </c>
      <c r="F20" s="201">
        <v>60</v>
      </c>
      <c r="G20" s="196">
        <v>45</v>
      </c>
      <c r="H20" s="201">
        <v>43</v>
      </c>
      <c r="I20" s="197"/>
      <c r="J20" s="266">
        <v>57</v>
      </c>
      <c r="K20" s="192">
        <v>2</v>
      </c>
      <c r="L20" s="192">
        <f t="shared" si="6"/>
        <v>25</v>
      </c>
      <c r="M20" s="256">
        <f>L20/K24</f>
        <v>0.83333333333333337</v>
      </c>
      <c r="N20" s="255"/>
      <c r="O20" s="266">
        <v>55</v>
      </c>
      <c r="P20" s="192">
        <v>1</v>
      </c>
      <c r="Q20" s="192">
        <f t="shared" si="7"/>
        <v>26</v>
      </c>
      <c r="R20" s="256">
        <f>Q20/30</f>
        <v>0.8666666666666667</v>
      </c>
      <c r="S20" s="255"/>
      <c r="T20" s="266">
        <v>49</v>
      </c>
      <c r="U20" s="192">
        <v>2</v>
      </c>
      <c r="V20" s="192">
        <f t="shared" si="8"/>
        <v>26</v>
      </c>
      <c r="W20" s="256">
        <f t="shared" si="1"/>
        <v>0.8666666666666667</v>
      </c>
      <c r="AN20" s="200">
        <v>12</v>
      </c>
      <c r="AO20" s="196">
        <v>51</v>
      </c>
      <c r="AP20" s="201">
        <v>50</v>
      </c>
      <c r="AQ20" s="196">
        <v>50</v>
      </c>
      <c r="AR20" s="201">
        <v>50</v>
      </c>
      <c r="AS20" s="196">
        <v>42</v>
      </c>
      <c r="AT20" s="201">
        <v>45</v>
      </c>
      <c r="AX20" s="197"/>
      <c r="AY20" s="197"/>
    </row>
    <row r="21" spans="2:54" x14ac:dyDescent="0.25">
      <c r="B21" s="200">
        <v>13</v>
      </c>
      <c r="C21" s="196">
        <v>48</v>
      </c>
      <c r="D21" s="201">
        <v>56</v>
      </c>
      <c r="E21" s="196">
        <v>59</v>
      </c>
      <c r="F21" s="201">
        <v>62</v>
      </c>
      <c r="G21" s="196">
        <v>45</v>
      </c>
      <c r="H21" s="201">
        <v>46</v>
      </c>
      <c r="I21" s="197"/>
      <c r="J21" s="266">
        <v>58</v>
      </c>
      <c r="K21" s="192">
        <v>3</v>
      </c>
      <c r="L21" s="192">
        <f t="shared" si="6"/>
        <v>28</v>
      </c>
      <c r="M21" s="256">
        <f>L21/K24</f>
        <v>0.93333333333333335</v>
      </c>
      <c r="N21" s="255"/>
      <c r="O21" s="266">
        <v>56</v>
      </c>
      <c r="P21" s="192">
        <v>2</v>
      </c>
      <c r="Q21" s="192">
        <f t="shared" si="7"/>
        <v>28</v>
      </c>
      <c r="R21" s="256">
        <f t="shared" si="0"/>
        <v>0.93333333333333335</v>
      </c>
      <c r="S21" s="255"/>
      <c r="T21" s="266">
        <v>51</v>
      </c>
      <c r="U21" s="192">
        <v>2</v>
      </c>
      <c r="V21" s="192">
        <f t="shared" si="8"/>
        <v>28</v>
      </c>
      <c r="W21" s="256">
        <f t="shared" si="1"/>
        <v>0.93333333333333335</v>
      </c>
      <c r="AN21" s="200">
        <v>13</v>
      </c>
      <c r="AO21" s="196">
        <v>51</v>
      </c>
      <c r="AP21" s="201">
        <v>50</v>
      </c>
      <c r="AQ21" s="196">
        <v>50</v>
      </c>
      <c r="AR21" s="201">
        <v>50</v>
      </c>
      <c r="AS21" s="196">
        <v>42</v>
      </c>
      <c r="AT21" s="201">
        <v>45</v>
      </c>
      <c r="AV21" s="197"/>
      <c r="AW21" s="197"/>
    </row>
    <row r="22" spans="2:54" x14ac:dyDescent="0.25">
      <c r="B22" s="200">
        <v>14</v>
      </c>
      <c r="C22" s="196">
        <v>43</v>
      </c>
      <c r="D22" s="201">
        <v>49</v>
      </c>
      <c r="E22" s="196">
        <v>56</v>
      </c>
      <c r="F22" s="201">
        <v>58</v>
      </c>
      <c r="G22" s="196">
        <v>44</v>
      </c>
      <c r="H22" s="201">
        <v>45</v>
      </c>
      <c r="I22" s="197"/>
      <c r="J22" s="266">
        <v>68</v>
      </c>
      <c r="K22" s="257">
        <v>1</v>
      </c>
      <c r="L22" s="192">
        <f t="shared" si="6"/>
        <v>29</v>
      </c>
      <c r="M22" s="256">
        <f>L22/K24</f>
        <v>0.96666666666666667</v>
      </c>
      <c r="N22" s="255"/>
      <c r="O22" s="266">
        <v>57</v>
      </c>
      <c r="P22" s="192">
        <v>1</v>
      </c>
      <c r="Q22" s="192">
        <f t="shared" si="7"/>
        <v>29</v>
      </c>
      <c r="R22" s="256">
        <f t="shared" si="0"/>
        <v>0.96666666666666667</v>
      </c>
      <c r="S22" s="255"/>
      <c r="T22" s="266">
        <v>53</v>
      </c>
      <c r="U22" s="192">
        <v>1</v>
      </c>
      <c r="V22" s="192">
        <f t="shared" si="8"/>
        <v>29</v>
      </c>
      <c r="W22" s="256">
        <f t="shared" si="1"/>
        <v>0.96666666666666667</v>
      </c>
      <c r="AN22" s="200">
        <v>14</v>
      </c>
      <c r="AO22" s="196">
        <v>52</v>
      </c>
      <c r="AP22" s="201">
        <v>50</v>
      </c>
      <c r="AQ22" s="196">
        <v>50</v>
      </c>
      <c r="AR22" s="201">
        <v>50</v>
      </c>
      <c r="AS22" s="196">
        <v>43</v>
      </c>
      <c r="AT22" s="201">
        <v>45</v>
      </c>
      <c r="AV22" s="197"/>
      <c r="AW22" s="197"/>
    </row>
    <row r="23" spans="2:54" x14ac:dyDescent="0.25">
      <c r="B23" s="200">
        <v>15</v>
      </c>
      <c r="C23" s="196">
        <v>45</v>
      </c>
      <c r="D23" s="201">
        <v>40</v>
      </c>
      <c r="E23" s="196">
        <v>54</v>
      </c>
      <c r="F23" s="201">
        <v>50</v>
      </c>
      <c r="G23" s="196">
        <v>44</v>
      </c>
      <c r="H23" s="201">
        <v>44</v>
      </c>
      <c r="I23" s="197"/>
      <c r="J23" s="266">
        <v>70</v>
      </c>
      <c r="K23" s="192">
        <v>1</v>
      </c>
      <c r="L23" s="192">
        <f t="shared" si="6"/>
        <v>30</v>
      </c>
      <c r="M23" s="256">
        <f>L23/K24</f>
        <v>1</v>
      </c>
      <c r="N23" s="255"/>
      <c r="O23" s="266">
        <v>59</v>
      </c>
      <c r="P23" s="253">
        <v>1</v>
      </c>
      <c r="Q23" s="192">
        <f t="shared" si="7"/>
        <v>30</v>
      </c>
      <c r="R23" s="256">
        <f t="shared" si="0"/>
        <v>1</v>
      </c>
      <c r="S23" s="255"/>
      <c r="T23" s="266">
        <v>54</v>
      </c>
      <c r="U23" s="253">
        <v>1</v>
      </c>
      <c r="V23" s="192">
        <f t="shared" si="8"/>
        <v>30</v>
      </c>
      <c r="W23" s="256">
        <f t="shared" si="1"/>
        <v>1</v>
      </c>
      <c r="AN23" s="200">
        <v>15</v>
      </c>
      <c r="AO23" s="196">
        <v>52</v>
      </c>
      <c r="AP23" s="201">
        <v>51</v>
      </c>
      <c r="AQ23" s="196">
        <v>51</v>
      </c>
      <c r="AR23" s="201">
        <v>50</v>
      </c>
      <c r="AS23" s="196">
        <v>43</v>
      </c>
      <c r="AT23" s="201">
        <v>45</v>
      </c>
      <c r="AV23" s="197"/>
      <c r="AW23" s="197"/>
    </row>
    <row r="24" spans="2:54" x14ac:dyDescent="0.25">
      <c r="B24" s="200">
        <v>16</v>
      </c>
      <c r="C24" s="196">
        <v>48</v>
      </c>
      <c r="D24" s="201">
        <v>43</v>
      </c>
      <c r="E24" s="196">
        <v>51</v>
      </c>
      <c r="F24" s="201">
        <v>49</v>
      </c>
      <c r="G24" s="196">
        <v>43</v>
      </c>
      <c r="H24" s="201">
        <v>45</v>
      </c>
      <c r="I24" s="197"/>
      <c r="J24" s="192" t="s">
        <v>315</v>
      </c>
      <c r="K24" s="192">
        <f>SUM(K8:K23)</f>
        <v>30</v>
      </c>
      <c r="L24" s="556"/>
      <c r="M24" s="557"/>
      <c r="N24" s="255"/>
      <c r="O24" s="192" t="s">
        <v>315</v>
      </c>
      <c r="P24" s="192">
        <f>SUM(P8:P23)</f>
        <v>30</v>
      </c>
      <c r="Q24" s="556"/>
      <c r="R24" s="557"/>
      <c r="S24" s="255"/>
      <c r="T24" s="192" t="s">
        <v>315</v>
      </c>
      <c r="U24" s="192">
        <f>SUM(U8:U23)</f>
        <v>30</v>
      </c>
      <c r="V24" s="558"/>
      <c r="W24" s="558"/>
      <c r="AN24" s="200">
        <v>16</v>
      </c>
      <c r="AO24" s="196">
        <v>53</v>
      </c>
      <c r="AP24" s="201">
        <v>52</v>
      </c>
      <c r="AQ24" s="196">
        <v>51</v>
      </c>
      <c r="AR24" s="201">
        <v>52</v>
      </c>
      <c r="AS24" s="196">
        <v>44</v>
      </c>
      <c r="AT24" s="201">
        <v>46</v>
      </c>
    </row>
    <row r="25" spans="2:54" x14ac:dyDescent="0.25">
      <c r="B25" s="200">
        <v>17</v>
      </c>
      <c r="C25" s="196">
        <v>50</v>
      </c>
      <c r="D25" s="201">
        <v>44</v>
      </c>
      <c r="E25" s="196">
        <v>49</v>
      </c>
      <c r="F25" s="201">
        <v>49</v>
      </c>
      <c r="G25" s="196">
        <v>43</v>
      </c>
      <c r="H25" s="201">
        <v>47</v>
      </c>
      <c r="I25" s="197"/>
      <c r="J25" s="255"/>
      <c r="K25" s="197"/>
      <c r="L25" s="197"/>
      <c r="M25" s="197"/>
      <c r="N25" s="255"/>
      <c r="O25" s="197"/>
      <c r="P25" s="197"/>
      <c r="Q25" s="197"/>
      <c r="R25" s="197"/>
      <c r="S25" s="255"/>
      <c r="AN25" s="200">
        <v>17</v>
      </c>
      <c r="AO25" s="196">
        <v>53</v>
      </c>
      <c r="AP25" s="201">
        <v>53</v>
      </c>
      <c r="AQ25" s="196">
        <v>51</v>
      </c>
      <c r="AR25" s="201">
        <v>52</v>
      </c>
      <c r="AS25" s="196">
        <v>44</v>
      </c>
      <c r="AT25" s="201">
        <v>47</v>
      </c>
    </row>
    <row r="26" spans="2:54" x14ac:dyDescent="0.25">
      <c r="B26" s="200">
        <v>18</v>
      </c>
      <c r="C26" s="196">
        <v>52</v>
      </c>
      <c r="D26" s="201">
        <v>47</v>
      </c>
      <c r="E26" s="196">
        <v>50</v>
      </c>
      <c r="F26" s="201">
        <v>50</v>
      </c>
      <c r="G26" s="196">
        <v>42</v>
      </c>
      <c r="H26" s="201">
        <v>39</v>
      </c>
      <c r="I26" s="197"/>
      <c r="J26" s="222" t="s">
        <v>313</v>
      </c>
      <c r="K26" s="259" t="s">
        <v>264</v>
      </c>
      <c r="L26" s="278" t="s">
        <v>309</v>
      </c>
      <c r="M26" s="278" t="s">
        <v>314</v>
      </c>
      <c r="N26" s="255"/>
      <c r="O26" s="278" t="s">
        <v>313</v>
      </c>
      <c r="P26" s="222" t="s">
        <v>264</v>
      </c>
      <c r="Q26" s="222" t="s">
        <v>309</v>
      </c>
      <c r="R26" s="222" t="s">
        <v>314</v>
      </c>
      <c r="S26" s="255"/>
      <c r="T26" s="222" t="s">
        <v>313</v>
      </c>
      <c r="U26" s="222" t="s">
        <v>264</v>
      </c>
      <c r="V26" s="222" t="s">
        <v>309</v>
      </c>
      <c r="W26" s="222" t="s">
        <v>314</v>
      </c>
      <c r="AN26" s="200">
        <v>18</v>
      </c>
      <c r="AO26" s="196">
        <v>53</v>
      </c>
      <c r="AP26" s="201">
        <v>54</v>
      </c>
      <c r="AQ26" s="196">
        <v>52</v>
      </c>
      <c r="AR26" s="201">
        <v>54</v>
      </c>
      <c r="AS26" s="196">
        <v>45</v>
      </c>
      <c r="AT26" s="201">
        <v>47</v>
      </c>
      <c r="BA26" s="197"/>
      <c r="BB26" s="197"/>
    </row>
    <row r="27" spans="2:54" x14ac:dyDescent="0.25">
      <c r="B27" s="200">
        <v>19</v>
      </c>
      <c r="C27" s="196">
        <v>55</v>
      </c>
      <c r="D27" s="201">
        <v>51</v>
      </c>
      <c r="E27" s="196">
        <v>53</v>
      </c>
      <c r="F27" s="201">
        <v>52</v>
      </c>
      <c r="G27" s="196">
        <v>42</v>
      </c>
      <c r="H27" s="201">
        <v>40</v>
      </c>
      <c r="I27" s="197"/>
      <c r="J27" s="196" t="s">
        <v>332</v>
      </c>
      <c r="K27" s="280">
        <v>6</v>
      </c>
      <c r="L27" s="282">
        <v>6</v>
      </c>
      <c r="M27" s="256">
        <f>L27/K32</f>
        <v>0.2</v>
      </c>
      <c r="N27" s="255"/>
      <c r="O27" s="196" t="s">
        <v>296</v>
      </c>
      <c r="P27" s="192">
        <v>5</v>
      </c>
      <c r="Q27" s="192">
        <v>5</v>
      </c>
      <c r="R27" s="256">
        <f>Q27/P31</f>
        <v>0.16666666666666666</v>
      </c>
      <c r="S27" s="255"/>
      <c r="T27" s="196" t="s">
        <v>341</v>
      </c>
      <c r="U27" s="192">
        <v>9</v>
      </c>
      <c r="V27" s="192">
        <v>9</v>
      </c>
      <c r="W27" s="256">
        <f>V27/U31</f>
        <v>0.3</v>
      </c>
      <c r="AN27" s="200">
        <v>19</v>
      </c>
      <c r="AO27" s="196">
        <v>54</v>
      </c>
      <c r="AP27" s="201">
        <v>54</v>
      </c>
      <c r="AQ27" s="196">
        <v>52</v>
      </c>
      <c r="AR27" s="201">
        <v>56</v>
      </c>
      <c r="AS27" s="196">
        <v>45</v>
      </c>
      <c r="AT27" s="201">
        <v>47</v>
      </c>
    </row>
    <row r="28" spans="2:54" ht="15" customHeight="1" x14ac:dyDescent="0.25">
      <c r="B28" s="200">
        <v>20</v>
      </c>
      <c r="C28" s="196">
        <v>51</v>
      </c>
      <c r="D28" s="201">
        <v>50</v>
      </c>
      <c r="E28" s="196">
        <v>52</v>
      </c>
      <c r="F28" s="201">
        <v>56</v>
      </c>
      <c r="G28" s="196">
        <v>42</v>
      </c>
      <c r="H28" s="201">
        <v>51</v>
      </c>
      <c r="I28" s="197"/>
      <c r="J28" s="298" t="s">
        <v>333</v>
      </c>
      <c r="K28" s="299">
        <v>14</v>
      </c>
      <c r="L28" s="298">
        <f>L27+K28</f>
        <v>20</v>
      </c>
      <c r="M28" s="256">
        <f>L28/K32</f>
        <v>0.66666666666666663</v>
      </c>
      <c r="N28" s="255"/>
      <c r="O28" s="305" t="s">
        <v>337</v>
      </c>
      <c r="P28" s="192">
        <v>12</v>
      </c>
      <c r="Q28" s="192">
        <f>Q27+P28</f>
        <v>17</v>
      </c>
      <c r="R28" s="256">
        <f>Q28/P31</f>
        <v>0.56666666666666665</v>
      </c>
      <c r="S28" s="255"/>
      <c r="T28" s="192" t="s">
        <v>342</v>
      </c>
      <c r="U28" s="192">
        <v>11</v>
      </c>
      <c r="V28" s="192">
        <f>V27+U28</f>
        <v>20</v>
      </c>
      <c r="W28" s="256">
        <f>V28/U31</f>
        <v>0.66666666666666663</v>
      </c>
      <c r="AN28" s="200">
        <v>20</v>
      </c>
      <c r="AO28" s="196">
        <v>54</v>
      </c>
      <c r="AP28" s="201">
        <v>55</v>
      </c>
      <c r="AQ28" s="196">
        <v>52</v>
      </c>
      <c r="AR28" s="201">
        <v>57</v>
      </c>
      <c r="AS28" s="196">
        <v>46</v>
      </c>
      <c r="AT28" s="201">
        <v>47</v>
      </c>
    </row>
    <row r="29" spans="2:54" x14ac:dyDescent="0.25">
      <c r="B29" s="200">
        <v>21</v>
      </c>
      <c r="C29" s="196">
        <v>47</v>
      </c>
      <c r="D29" s="201">
        <v>58</v>
      </c>
      <c r="E29" s="196">
        <v>50</v>
      </c>
      <c r="F29" s="201">
        <v>49</v>
      </c>
      <c r="G29" s="196">
        <v>41</v>
      </c>
      <c r="H29" s="201">
        <v>52</v>
      </c>
      <c r="I29" s="197"/>
      <c r="J29" s="301" t="s">
        <v>334</v>
      </c>
      <c r="K29" s="302">
        <v>8</v>
      </c>
      <c r="L29" s="303">
        <f t="shared" ref="L29:L31" si="10">L28+K29</f>
        <v>28</v>
      </c>
      <c r="M29" s="304">
        <f>L29/K32</f>
        <v>0.93333333333333335</v>
      </c>
      <c r="N29" s="255"/>
      <c r="O29" s="301" t="s">
        <v>338</v>
      </c>
      <c r="P29" s="303">
        <v>12</v>
      </c>
      <c r="Q29" s="303">
        <f>Q28+P29</f>
        <v>29</v>
      </c>
      <c r="R29" s="304">
        <f>Q29/P31</f>
        <v>0.96666666666666667</v>
      </c>
      <c r="S29" s="255"/>
      <c r="T29" s="301" t="s">
        <v>343</v>
      </c>
      <c r="U29" s="303">
        <v>8</v>
      </c>
      <c r="V29" s="303">
        <f>V28+U29</f>
        <v>28</v>
      </c>
      <c r="W29" s="304">
        <f>V29/U31</f>
        <v>0.93333333333333335</v>
      </c>
      <c r="AN29" s="200">
        <v>21</v>
      </c>
      <c r="AO29" s="196">
        <v>55</v>
      </c>
      <c r="AP29" s="201">
        <v>56</v>
      </c>
      <c r="AQ29" s="196">
        <v>52</v>
      </c>
      <c r="AR29" s="201">
        <v>57</v>
      </c>
      <c r="AS29" s="196">
        <v>47</v>
      </c>
      <c r="AT29" s="201">
        <v>48</v>
      </c>
      <c r="AZ29" s="197"/>
    </row>
    <row r="30" spans="2:54" x14ac:dyDescent="0.25">
      <c r="B30" s="200">
        <v>22</v>
      </c>
      <c r="C30" s="196">
        <v>50</v>
      </c>
      <c r="D30" s="201">
        <v>62</v>
      </c>
      <c r="E30" s="196">
        <v>52</v>
      </c>
      <c r="F30" s="201">
        <v>46</v>
      </c>
      <c r="G30" s="196">
        <v>40</v>
      </c>
      <c r="H30" s="201">
        <v>48</v>
      </c>
      <c r="I30" s="197"/>
      <c r="J30" s="257" t="s">
        <v>335</v>
      </c>
      <c r="K30" s="280">
        <v>0</v>
      </c>
      <c r="L30" s="282">
        <f t="shared" si="10"/>
        <v>28</v>
      </c>
      <c r="M30" s="256">
        <f>L30/K32</f>
        <v>0.93333333333333335</v>
      </c>
      <c r="N30" s="255"/>
      <c r="O30" s="282" t="s">
        <v>339</v>
      </c>
      <c r="P30" s="282">
        <v>1</v>
      </c>
      <c r="Q30" s="298">
        <f>Q29+P30</f>
        <v>30</v>
      </c>
      <c r="R30" s="300">
        <f>Q30/30</f>
        <v>1</v>
      </c>
      <c r="S30" s="255"/>
      <c r="T30" s="282" t="s">
        <v>344</v>
      </c>
      <c r="U30" s="282">
        <v>2</v>
      </c>
      <c r="V30" s="282">
        <f>V29+U30</f>
        <v>30</v>
      </c>
      <c r="W30" s="256">
        <f>V30/30</f>
        <v>1</v>
      </c>
      <c r="AN30" s="200">
        <v>22</v>
      </c>
      <c r="AO30" s="196">
        <v>55</v>
      </c>
      <c r="AP30" s="201">
        <v>57</v>
      </c>
      <c r="AQ30" s="196">
        <v>53</v>
      </c>
      <c r="AR30" s="201">
        <v>58</v>
      </c>
      <c r="AS30" s="196">
        <v>47</v>
      </c>
      <c r="AT30" s="201">
        <v>48</v>
      </c>
    </row>
    <row r="31" spans="2:54" x14ac:dyDescent="0.25">
      <c r="B31" s="200">
        <v>23</v>
      </c>
      <c r="C31" s="196">
        <v>56</v>
      </c>
      <c r="D31" s="201">
        <v>60</v>
      </c>
      <c r="E31" s="196">
        <v>56</v>
      </c>
      <c r="F31" s="201">
        <v>58</v>
      </c>
      <c r="G31" s="196">
        <v>40</v>
      </c>
      <c r="H31" s="201">
        <v>50</v>
      </c>
      <c r="I31" s="197"/>
      <c r="J31" s="265" t="s">
        <v>336</v>
      </c>
      <c r="K31" s="280">
        <v>2</v>
      </c>
      <c r="L31" s="282">
        <f t="shared" si="10"/>
        <v>30</v>
      </c>
      <c r="M31" s="297"/>
      <c r="N31" s="255"/>
      <c r="O31" s="257" t="s">
        <v>315</v>
      </c>
      <c r="P31" s="192">
        <f>SUM(P27:P30)</f>
        <v>30</v>
      </c>
      <c r="Q31" s="258"/>
      <c r="R31" s="258"/>
      <c r="S31" s="255"/>
      <c r="T31" s="257" t="s">
        <v>315</v>
      </c>
      <c r="U31" s="192">
        <f>SUM(U27:U30)</f>
        <v>30</v>
      </c>
      <c r="V31" s="258"/>
      <c r="W31" s="258"/>
      <c r="AN31" s="200">
        <v>23</v>
      </c>
      <c r="AO31" s="196">
        <v>56</v>
      </c>
      <c r="AP31" s="201">
        <v>58</v>
      </c>
      <c r="AQ31" s="196">
        <v>53</v>
      </c>
      <c r="AR31" s="201">
        <v>58</v>
      </c>
      <c r="AS31" s="196">
        <v>47</v>
      </c>
      <c r="AT31" s="201">
        <v>50</v>
      </c>
    </row>
    <row r="32" spans="2:54" x14ac:dyDescent="0.25">
      <c r="B32" s="200">
        <v>24</v>
      </c>
      <c r="C32" s="196">
        <v>53</v>
      </c>
      <c r="D32" s="201">
        <v>50</v>
      </c>
      <c r="E32" s="196">
        <v>49</v>
      </c>
      <c r="F32" s="201">
        <v>58</v>
      </c>
      <c r="G32" s="196">
        <v>39</v>
      </c>
      <c r="H32" s="201">
        <v>50</v>
      </c>
      <c r="I32" s="197"/>
      <c r="J32" s="257" t="s">
        <v>315</v>
      </c>
      <c r="K32" s="280">
        <f>SUM(K27:K31)</f>
        <v>30</v>
      </c>
      <c r="L32" s="544"/>
      <c r="M32" s="544"/>
      <c r="O32" s="257" t="s">
        <v>258</v>
      </c>
      <c r="P32" s="280"/>
      <c r="Q32" s="281"/>
      <c r="R32" s="200">
        <v>55</v>
      </c>
      <c r="S32" s="255"/>
      <c r="T32" s="257" t="s">
        <v>258</v>
      </c>
      <c r="U32" s="280"/>
      <c r="V32" s="281"/>
      <c r="W32" s="200">
        <v>49</v>
      </c>
      <c r="AN32" s="200">
        <v>24</v>
      </c>
      <c r="AO32" s="196">
        <v>57</v>
      </c>
      <c r="AP32" s="201">
        <v>59</v>
      </c>
      <c r="AQ32" s="196">
        <v>54</v>
      </c>
      <c r="AR32" s="201">
        <v>58</v>
      </c>
      <c r="AS32" s="196">
        <v>48</v>
      </c>
      <c r="AT32" s="201">
        <v>50</v>
      </c>
    </row>
    <row r="33" spans="2:58" x14ac:dyDescent="0.25">
      <c r="B33" s="200">
        <v>25</v>
      </c>
      <c r="C33" s="196">
        <v>58</v>
      </c>
      <c r="D33" s="201">
        <v>54</v>
      </c>
      <c r="E33" s="196">
        <v>47</v>
      </c>
      <c r="F33" s="201">
        <v>60</v>
      </c>
      <c r="G33" s="196">
        <v>39</v>
      </c>
      <c r="H33" s="201">
        <v>48</v>
      </c>
      <c r="I33" s="197"/>
      <c r="J33" s="257" t="s">
        <v>258</v>
      </c>
      <c r="K33" s="280"/>
      <c r="L33" s="282"/>
      <c r="M33" s="200" t="s">
        <v>340</v>
      </c>
      <c r="S33" s="255"/>
      <c r="AN33" s="200">
        <v>25</v>
      </c>
      <c r="AO33" s="196">
        <v>57</v>
      </c>
      <c r="AP33" s="201">
        <v>60</v>
      </c>
      <c r="AQ33" s="196">
        <v>54</v>
      </c>
      <c r="AR33" s="201">
        <v>60</v>
      </c>
      <c r="AS33" s="196">
        <v>49</v>
      </c>
      <c r="AT33" s="201">
        <v>50</v>
      </c>
    </row>
    <row r="34" spans="2:58" x14ac:dyDescent="0.25">
      <c r="B34" s="200">
        <v>26</v>
      </c>
      <c r="C34" s="196">
        <v>70</v>
      </c>
      <c r="D34" s="201">
        <v>57</v>
      </c>
      <c r="E34" s="196">
        <v>45</v>
      </c>
      <c r="F34" s="201">
        <v>63</v>
      </c>
      <c r="G34" s="196">
        <v>39</v>
      </c>
      <c r="H34" s="201">
        <v>51</v>
      </c>
      <c r="I34" s="197"/>
      <c r="J34" s="251"/>
      <c r="K34" s="251"/>
      <c r="S34" s="255"/>
      <c r="AN34" s="200">
        <v>26</v>
      </c>
      <c r="AO34" s="196">
        <v>58</v>
      </c>
      <c r="AP34" s="201">
        <v>60</v>
      </c>
      <c r="AQ34" s="196">
        <v>55</v>
      </c>
      <c r="AR34" s="201">
        <v>60</v>
      </c>
      <c r="AS34" s="196">
        <v>49</v>
      </c>
      <c r="AT34" s="201">
        <v>50</v>
      </c>
    </row>
    <row r="35" spans="2:58" x14ac:dyDescent="0.25">
      <c r="B35" s="200">
        <v>27</v>
      </c>
      <c r="C35" s="196">
        <v>49</v>
      </c>
      <c r="D35" s="201">
        <v>61</v>
      </c>
      <c r="E35" s="196">
        <v>49</v>
      </c>
      <c r="F35" s="201">
        <v>50</v>
      </c>
      <c r="G35" s="196">
        <v>38</v>
      </c>
      <c r="H35" s="201">
        <v>47</v>
      </c>
      <c r="I35" s="197"/>
      <c r="J35" s="211"/>
      <c r="K35" s="261"/>
      <c r="S35" s="255"/>
      <c r="AN35" s="200">
        <v>27</v>
      </c>
      <c r="AO35" s="196">
        <v>58</v>
      </c>
      <c r="AP35" s="201">
        <v>61</v>
      </c>
      <c r="AQ35" s="196">
        <v>56</v>
      </c>
      <c r="AR35" s="201">
        <v>62</v>
      </c>
      <c r="AS35" s="196">
        <v>51</v>
      </c>
      <c r="AT35" s="201">
        <v>50</v>
      </c>
      <c r="AU35" s="197"/>
      <c r="BA35" s="197"/>
      <c r="BB35" s="197"/>
      <c r="BC35" s="197"/>
      <c r="BD35" s="197"/>
      <c r="BE35" s="197"/>
      <c r="BF35" s="197"/>
    </row>
    <row r="36" spans="2:58" x14ac:dyDescent="0.25">
      <c r="B36" s="200">
        <v>28</v>
      </c>
      <c r="C36" s="196">
        <v>53</v>
      </c>
      <c r="D36" s="201">
        <v>49</v>
      </c>
      <c r="E36" s="196">
        <v>51</v>
      </c>
      <c r="F36" s="201">
        <v>46</v>
      </c>
      <c r="G36" s="196">
        <v>38</v>
      </c>
      <c r="H36" s="201">
        <v>50</v>
      </c>
      <c r="I36" s="211"/>
      <c r="J36" s="255"/>
      <c r="K36" s="260"/>
      <c r="S36" s="255"/>
      <c r="AN36" s="200">
        <v>28</v>
      </c>
      <c r="AO36" s="196">
        <v>58</v>
      </c>
      <c r="AP36" s="201">
        <v>62</v>
      </c>
      <c r="AQ36" s="196">
        <v>56</v>
      </c>
      <c r="AR36" s="201">
        <v>63</v>
      </c>
      <c r="AS36" s="196">
        <v>51</v>
      </c>
      <c r="AT36" s="201">
        <v>51</v>
      </c>
    </row>
    <row r="37" spans="2:58" x14ac:dyDescent="0.25">
      <c r="B37" s="200">
        <v>29</v>
      </c>
      <c r="C37" s="196">
        <v>51</v>
      </c>
      <c r="D37" s="201">
        <v>50</v>
      </c>
      <c r="E37" s="196">
        <v>42</v>
      </c>
      <c r="F37" s="201">
        <v>52</v>
      </c>
      <c r="G37" s="196">
        <v>38</v>
      </c>
      <c r="H37" s="201">
        <v>50</v>
      </c>
      <c r="J37" s="255"/>
      <c r="K37" s="260"/>
      <c r="S37" s="255"/>
      <c r="AN37" s="200">
        <v>29</v>
      </c>
      <c r="AO37" s="196">
        <v>68</v>
      </c>
      <c r="AP37" s="201">
        <v>63</v>
      </c>
      <c r="AQ37" s="196">
        <v>57</v>
      </c>
      <c r="AR37" s="201">
        <v>65</v>
      </c>
      <c r="AS37" s="196">
        <v>53</v>
      </c>
      <c r="AT37" s="201">
        <v>51</v>
      </c>
    </row>
    <row r="38" spans="2:58" x14ac:dyDescent="0.25">
      <c r="B38" s="200">
        <v>30</v>
      </c>
      <c r="C38" s="196">
        <v>57</v>
      </c>
      <c r="D38" s="201">
        <v>47</v>
      </c>
      <c r="E38" s="196">
        <v>40</v>
      </c>
      <c r="F38" s="201">
        <v>57</v>
      </c>
      <c r="G38" s="196">
        <v>35</v>
      </c>
      <c r="H38" s="201">
        <v>42</v>
      </c>
      <c r="J38" s="255"/>
      <c r="K38" s="260"/>
      <c r="AN38" s="208">
        <v>30</v>
      </c>
      <c r="AO38" s="209">
        <v>70</v>
      </c>
      <c r="AP38" s="210">
        <v>66</v>
      </c>
      <c r="AQ38" s="209">
        <v>59</v>
      </c>
      <c r="AR38" s="210">
        <v>69</v>
      </c>
      <c r="AS38" s="209">
        <v>54</v>
      </c>
      <c r="AT38" s="210">
        <v>52</v>
      </c>
    </row>
    <row r="39" spans="2:58" x14ac:dyDescent="0.25">
      <c r="B39" s="203" t="s">
        <v>251</v>
      </c>
      <c r="C39" s="203">
        <f t="shared" ref="C39:H39" si="11">MIN(C9:C38)</f>
        <v>43</v>
      </c>
      <c r="D39" s="203">
        <f t="shared" si="11"/>
        <v>40</v>
      </c>
      <c r="E39" s="203">
        <f t="shared" si="11"/>
        <v>40</v>
      </c>
      <c r="F39" s="203">
        <f t="shared" si="11"/>
        <v>40</v>
      </c>
      <c r="G39" s="203">
        <f>MIN(G9:G38)</f>
        <v>35</v>
      </c>
      <c r="H39" s="203">
        <f t="shared" si="11"/>
        <v>39</v>
      </c>
      <c r="J39" s="255"/>
      <c r="K39" s="260"/>
      <c r="AN39" s="207" t="s">
        <v>258</v>
      </c>
      <c r="AO39" s="212">
        <f>PERCENTILE(AO9:AO38,0.85)</f>
        <v>57.65</v>
      </c>
      <c r="AP39" s="212">
        <f t="shared" ref="AP39:AT39" si="12">PERCENTILE(AP9:AP38,0.85)</f>
        <v>60</v>
      </c>
      <c r="AQ39" s="212">
        <f t="shared" si="12"/>
        <v>54.65</v>
      </c>
      <c r="AR39" s="212">
        <f t="shared" si="12"/>
        <v>60</v>
      </c>
      <c r="AS39" s="212">
        <f t="shared" si="12"/>
        <v>49</v>
      </c>
      <c r="AT39" s="212">
        <f t="shared" si="12"/>
        <v>50</v>
      </c>
    </row>
    <row r="40" spans="2:58" x14ac:dyDescent="0.25">
      <c r="B40" s="203" t="s">
        <v>252</v>
      </c>
      <c r="C40" s="203">
        <f t="shared" ref="C40:H40" si="13">MAX(C9:C38)</f>
        <v>70</v>
      </c>
      <c r="D40" s="203">
        <f t="shared" si="13"/>
        <v>66</v>
      </c>
      <c r="E40" s="203">
        <f t="shared" si="13"/>
        <v>59</v>
      </c>
      <c r="F40" s="203">
        <f t="shared" si="13"/>
        <v>69</v>
      </c>
      <c r="G40" s="203">
        <f>MAX(G9:G38)</f>
        <v>54</v>
      </c>
      <c r="H40" s="203">
        <f t="shared" si="13"/>
        <v>52</v>
      </c>
      <c r="J40" s="255"/>
      <c r="K40" s="260"/>
    </row>
    <row r="41" spans="2:58" x14ac:dyDescent="0.25">
      <c r="C41" t="s">
        <v>253</v>
      </c>
      <c r="J41" s="255"/>
      <c r="K41" s="260"/>
    </row>
    <row r="42" spans="2:58" x14ac:dyDescent="0.25">
      <c r="C42" t="s">
        <v>254</v>
      </c>
      <c r="J42" s="255"/>
      <c r="K42" s="260"/>
    </row>
    <row r="43" spans="2:58" ht="15.75" thickBot="1" x14ac:dyDescent="0.3">
      <c r="J43" s="255"/>
      <c r="K43" s="260"/>
    </row>
    <row r="44" spans="2:58" ht="15.75" thickBot="1" x14ac:dyDescent="0.3">
      <c r="C44" s="484" t="s">
        <v>405</v>
      </c>
      <c r="D44" s="485"/>
      <c r="E44" s="485"/>
      <c r="F44" s="486"/>
      <c r="J44" s="255"/>
      <c r="K44" s="260"/>
    </row>
    <row r="45" spans="2:58" ht="15.75" thickBot="1" x14ac:dyDescent="0.3">
      <c r="C45" s="333" t="s">
        <v>364</v>
      </c>
      <c r="D45" s="334" t="s">
        <v>406</v>
      </c>
      <c r="E45" s="334" t="s">
        <v>407</v>
      </c>
      <c r="F45" s="335" t="s">
        <v>408</v>
      </c>
      <c r="J45" s="255"/>
      <c r="K45" s="260"/>
    </row>
    <row r="46" spans="2:58" x14ac:dyDescent="0.25">
      <c r="C46" s="328" t="s">
        <v>249</v>
      </c>
      <c r="D46" s="329">
        <v>58</v>
      </c>
      <c r="E46" s="329">
        <v>60</v>
      </c>
      <c r="F46" s="545">
        <v>40</v>
      </c>
      <c r="J46" s="255"/>
      <c r="K46" s="260"/>
    </row>
    <row r="47" spans="2:58" x14ac:dyDescent="0.25">
      <c r="C47" s="213" t="s">
        <v>245</v>
      </c>
      <c r="D47" s="214">
        <v>55</v>
      </c>
      <c r="E47" s="214">
        <v>60</v>
      </c>
      <c r="F47" s="546"/>
      <c r="J47" s="255"/>
      <c r="K47" s="260"/>
    </row>
    <row r="48" spans="2:58" ht="15.75" thickBot="1" x14ac:dyDescent="0.3">
      <c r="C48" s="216" t="s">
        <v>246</v>
      </c>
      <c r="D48" s="217">
        <v>49</v>
      </c>
      <c r="E48" s="217">
        <v>49</v>
      </c>
      <c r="F48" s="547"/>
      <c r="J48" s="255"/>
      <c r="K48" s="260"/>
    </row>
    <row r="49" spans="7:25" x14ac:dyDescent="0.25">
      <c r="J49" s="255"/>
      <c r="K49" s="260"/>
    </row>
    <row r="50" spans="7:25" x14ac:dyDescent="0.25">
      <c r="G50" s="255"/>
      <c r="J50" s="255"/>
      <c r="K50" s="260"/>
      <c r="Y50" s="262"/>
    </row>
    <row r="51" spans="7:25" x14ac:dyDescent="0.25">
      <c r="G51" s="255"/>
      <c r="I51" s="262"/>
      <c r="Y51" s="262"/>
    </row>
    <row r="52" spans="7:25" x14ac:dyDescent="0.25">
      <c r="G52" s="255"/>
      <c r="I52" s="262"/>
      <c r="J52" s="553" t="s">
        <v>261</v>
      </c>
      <c r="K52" s="554"/>
      <c r="L52" s="554"/>
      <c r="M52" s="554"/>
      <c r="N52" s="554"/>
      <c r="O52" s="554"/>
      <c r="P52" s="554"/>
      <c r="Q52" s="554"/>
      <c r="R52" s="554"/>
      <c r="S52" s="554"/>
      <c r="T52" s="554"/>
      <c r="U52" s="554"/>
      <c r="V52" s="554"/>
      <c r="W52" s="554"/>
      <c r="Y52" s="262"/>
    </row>
    <row r="53" spans="7:25" x14ac:dyDescent="0.25">
      <c r="G53" s="255"/>
      <c r="I53" s="262"/>
      <c r="J53" s="515" t="s">
        <v>316</v>
      </c>
      <c r="K53" s="515"/>
      <c r="L53" s="515"/>
      <c r="M53" s="515"/>
      <c r="N53" s="262"/>
      <c r="O53" s="515" t="s">
        <v>243</v>
      </c>
      <c r="P53" s="515"/>
      <c r="Q53" s="515"/>
      <c r="R53" s="515"/>
      <c r="T53" s="515" t="s">
        <v>243</v>
      </c>
      <c r="U53" s="515"/>
      <c r="V53" s="515"/>
      <c r="W53" s="515"/>
      <c r="Y53" s="262"/>
    </row>
    <row r="54" spans="7:25" x14ac:dyDescent="0.25">
      <c r="G54" s="255"/>
      <c r="I54" s="262"/>
      <c r="J54" s="250" t="s">
        <v>313</v>
      </c>
      <c r="K54" s="250" t="s">
        <v>264</v>
      </c>
      <c r="L54" s="250" t="s">
        <v>309</v>
      </c>
      <c r="M54" s="250" t="s">
        <v>314</v>
      </c>
      <c r="N54" s="262"/>
      <c r="O54" s="250" t="s">
        <v>313</v>
      </c>
      <c r="P54" s="250" t="s">
        <v>264</v>
      </c>
      <c r="Q54" s="250" t="s">
        <v>309</v>
      </c>
      <c r="R54" s="250" t="s">
        <v>314</v>
      </c>
      <c r="S54" s="262"/>
      <c r="T54" s="250" t="s">
        <v>313</v>
      </c>
      <c r="U54" s="250" t="s">
        <v>264</v>
      </c>
      <c r="V54" s="250" t="s">
        <v>309</v>
      </c>
      <c r="W54" s="250" t="s">
        <v>314</v>
      </c>
      <c r="Y54" s="262"/>
    </row>
    <row r="55" spans="7:25" x14ac:dyDescent="0.25">
      <c r="G55" s="255"/>
      <c r="I55" s="262"/>
      <c r="J55" s="266">
        <v>40</v>
      </c>
      <c r="K55" s="192">
        <v>1</v>
      </c>
      <c r="L55" s="192">
        <v>1</v>
      </c>
      <c r="M55" s="256">
        <f>L55/30</f>
        <v>3.3333333333333333E-2</v>
      </c>
      <c r="N55" s="262"/>
      <c r="O55" s="266">
        <v>40</v>
      </c>
      <c r="P55" s="192">
        <v>1</v>
      </c>
      <c r="Q55" s="192">
        <v>1</v>
      </c>
      <c r="R55" s="256">
        <f>Q55/30</f>
        <v>3.3333333333333333E-2</v>
      </c>
      <c r="S55" s="262"/>
      <c r="T55" s="266">
        <v>39</v>
      </c>
      <c r="U55" s="192">
        <v>1</v>
      </c>
      <c r="V55" s="192">
        <v>1</v>
      </c>
      <c r="W55" s="256">
        <f>V55/30</f>
        <v>3.3333333333333333E-2</v>
      </c>
      <c r="Y55" s="262"/>
    </row>
    <row r="56" spans="7:25" x14ac:dyDescent="0.25">
      <c r="G56" s="255"/>
      <c r="I56" s="262"/>
      <c r="J56" s="266">
        <v>43</v>
      </c>
      <c r="K56" s="192">
        <v>1</v>
      </c>
      <c r="L56" s="192">
        <f>L55+K56</f>
        <v>2</v>
      </c>
      <c r="M56" s="256">
        <f t="shared" ref="M56:M75" si="14">L56/30</f>
        <v>6.6666666666666666E-2</v>
      </c>
      <c r="N56" s="262"/>
      <c r="O56" s="266">
        <v>41</v>
      </c>
      <c r="P56" s="192">
        <v>1</v>
      </c>
      <c r="Q56" s="192">
        <f>Q55+P56</f>
        <v>2</v>
      </c>
      <c r="R56" s="256">
        <f t="shared" ref="R56:R71" si="15">Q56/30</f>
        <v>6.6666666666666666E-2</v>
      </c>
      <c r="S56" s="262"/>
      <c r="T56" s="266">
        <v>40</v>
      </c>
      <c r="U56" s="192">
        <v>3</v>
      </c>
      <c r="V56" s="192">
        <f>V55+U56</f>
        <v>4</v>
      </c>
      <c r="W56" s="256">
        <f t="shared" ref="W56:W66" si="16">V56/30</f>
        <v>0.13333333333333333</v>
      </c>
      <c r="Y56" s="262"/>
    </row>
    <row r="57" spans="7:25" x14ac:dyDescent="0.25">
      <c r="G57" s="255"/>
      <c r="I57" s="262"/>
      <c r="J57" s="266">
        <v>44</v>
      </c>
      <c r="K57" s="192">
        <v>1</v>
      </c>
      <c r="L57" s="192">
        <f t="shared" ref="L57:L75" si="17">L56+K57</f>
        <v>3</v>
      </c>
      <c r="M57" s="256">
        <f t="shared" si="14"/>
        <v>0.1</v>
      </c>
      <c r="N57" s="262"/>
      <c r="O57" s="266">
        <v>45</v>
      </c>
      <c r="P57" s="192">
        <v>1</v>
      </c>
      <c r="Q57" s="192">
        <f t="shared" ref="Q57:Q71" si="18">Q56+P57</f>
        <v>3</v>
      </c>
      <c r="R57" s="256">
        <f t="shared" si="15"/>
        <v>0.1</v>
      </c>
      <c r="S57" s="262"/>
      <c r="T57" s="266">
        <v>42</v>
      </c>
      <c r="U57" s="192">
        <v>2</v>
      </c>
      <c r="V57" s="192">
        <f t="shared" ref="V57:V66" si="19">V56+U57</f>
        <v>6</v>
      </c>
      <c r="W57" s="256">
        <f t="shared" si="16"/>
        <v>0.2</v>
      </c>
      <c r="Y57" s="262"/>
    </row>
    <row r="58" spans="7:25" x14ac:dyDescent="0.25">
      <c r="G58" s="255"/>
      <c r="I58" s="262"/>
      <c r="J58" s="266">
        <v>47</v>
      </c>
      <c r="K58" s="192">
        <v>2</v>
      </c>
      <c r="L58" s="192">
        <f t="shared" si="17"/>
        <v>5</v>
      </c>
      <c r="M58" s="256">
        <f t="shared" si="14"/>
        <v>0.16666666666666666</v>
      </c>
      <c r="N58" s="262"/>
      <c r="O58" s="266">
        <v>46</v>
      </c>
      <c r="P58" s="192">
        <v>2</v>
      </c>
      <c r="Q58" s="192">
        <f t="shared" si="18"/>
        <v>5</v>
      </c>
      <c r="R58" s="256">
        <f t="shared" si="15"/>
        <v>0.16666666666666666</v>
      </c>
      <c r="S58" s="262"/>
      <c r="T58" s="266">
        <v>43</v>
      </c>
      <c r="U58" s="192">
        <v>2</v>
      </c>
      <c r="V58" s="192">
        <f t="shared" si="19"/>
        <v>8</v>
      </c>
      <c r="W58" s="256">
        <f t="shared" si="16"/>
        <v>0.26666666666666666</v>
      </c>
      <c r="Y58" s="262"/>
    </row>
    <row r="59" spans="7:25" x14ac:dyDescent="0.25">
      <c r="G59" s="255"/>
      <c r="I59" s="262"/>
      <c r="J59" s="266">
        <v>48</v>
      </c>
      <c r="K59" s="192">
        <v>1</v>
      </c>
      <c r="L59" s="192">
        <f t="shared" si="17"/>
        <v>6</v>
      </c>
      <c r="M59" s="256">
        <f t="shared" si="14"/>
        <v>0.2</v>
      </c>
      <c r="N59" s="262"/>
      <c r="O59" s="266">
        <v>47</v>
      </c>
      <c r="P59" s="192">
        <v>1</v>
      </c>
      <c r="Q59" s="192">
        <f t="shared" si="18"/>
        <v>6</v>
      </c>
      <c r="R59" s="256">
        <f t="shared" si="15"/>
        <v>0.2</v>
      </c>
      <c r="S59" s="262"/>
      <c r="T59" s="266">
        <v>44</v>
      </c>
      <c r="U59" s="192">
        <v>3</v>
      </c>
      <c r="V59" s="192">
        <f t="shared" si="19"/>
        <v>11</v>
      </c>
      <c r="W59" s="256">
        <f t="shared" si="16"/>
        <v>0.36666666666666664</v>
      </c>
      <c r="Y59" s="262"/>
    </row>
    <row r="60" spans="7:25" x14ac:dyDescent="0.25">
      <c r="G60" s="255"/>
      <c r="I60" s="262"/>
      <c r="J60" s="266">
        <v>49</v>
      </c>
      <c r="K60" s="192">
        <v>3</v>
      </c>
      <c r="L60" s="192">
        <f t="shared" si="17"/>
        <v>9</v>
      </c>
      <c r="M60" s="256">
        <f t="shared" si="14"/>
        <v>0.3</v>
      </c>
      <c r="N60" s="262"/>
      <c r="O60" s="266">
        <v>49</v>
      </c>
      <c r="P60" s="192">
        <v>3</v>
      </c>
      <c r="Q60" s="192">
        <f t="shared" si="18"/>
        <v>9</v>
      </c>
      <c r="R60" s="256">
        <f t="shared" si="15"/>
        <v>0.3</v>
      </c>
      <c r="S60" s="262"/>
      <c r="T60" s="266">
        <v>45</v>
      </c>
      <c r="U60" s="192">
        <v>4</v>
      </c>
      <c r="V60" s="192">
        <f t="shared" si="19"/>
        <v>15</v>
      </c>
      <c r="W60" s="256">
        <f t="shared" si="16"/>
        <v>0.5</v>
      </c>
      <c r="Y60" s="262"/>
    </row>
    <row r="61" spans="7:25" x14ac:dyDescent="0.25">
      <c r="G61" s="255"/>
      <c r="I61" s="262"/>
      <c r="J61" s="266">
        <v>50</v>
      </c>
      <c r="K61" s="192">
        <v>5</v>
      </c>
      <c r="L61" s="192">
        <f t="shared" si="17"/>
        <v>14</v>
      </c>
      <c r="M61" s="256">
        <f t="shared" si="14"/>
        <v>0.46666666666666667</v>
      </c>
      <c r="N61" s="262"/>
      <c r="O61" s="266">
        <v>50</v>
      </c>
      <c r="P61" s="192">
        <v>6</v>
      </c>
      <c r="Q61" s="192">
        <f t="shared" si="18"/>
        <v>15</v>
      </c>
      <c r="R61" s="256">
        <f t="shared" si="15"/>
        <v>0.5</v>
      </c>
      <c r="S61" s="262"/>
      <c r="T61" s="266">
        <v>46</v>
      </c>
      <c r="U61" s="192">
        <v>1</v>
      </c>
      <c r="V61" s="192">
        <f t="shared" si="19"/>
        <v>16</v>
      </c>
      <c r="W61" s="256">
        <f t="shared" si="16"/>
        <v>0.53333333333333333</v>
      </c>
      <c r="Y61" s="262"/>
    </row>
    <row r="62" spans="7:25" x14ac:dyDescent="0.25">
      <c r="G62" s="255"/>
      <c r="I62" s="262"/>
      <c r="J62" s="266">
        <v>51</v>
      </c>
      <c r="K62" s="192">
        <v>1</v>
      </c>
      <c r="L62" s="192">
        <f t="shared" si="17"/>
        <v>15</v>
      </c>
      <c r="M62" s="256">
        <f t="shared" si="14"/>
        <v>0.5</v>
      </c>
      <c r="N62" s="262"/>
      <c r="O62" s="266">
        <v>52</v>
      </c>
      <c r="P62" s="192">
        <v>2</v>
      </c>
      <c r="Q62" s="192">
        <f t="shared" si="18"/>
        <v>17</v>
      </c>
      <c r="R62" s="256">
        <f t="shared" si="15"/>
        <v>0.56666666666666665</v>
      </c>
      <c r="S62" s="262"/>
      <c r="T62" s="266">
        <v>47</v>
      </c>
      <c r="U62" s="192">
        <v>4</v>
      </c>
      <c r="V62" s="192">
        <f t="shared" si="19"/>
        <v>20</v>
      </c>
      <c r="W62" s="256">
        <f t="shared" si="16"/>
        <v>0.66666666666666663</v>
      </c>
      <c r="Y62" s="262"/>
    </row>
    <row r="63" spans="7:25" x14ac:dyDescent="0.25">
      <c r="G63" s="255"/>
      <c r="I63" s="262"/>
      <c r="J63" s="266">
        <v>52</v>
      </c>
      <c r="K63" s="192">
        <v>1</v>
      </c>
      <c r="L63" s="192">
        <f t="shared" si="17"/>
        <v>16</v>
      </c>
      <c r="M63" s="256">
        <f t="shared" si="14"/>
        <v>0.53333333333333333</v>
      </c>
      <c r="N63" s="262"/>
      <c r="O63" s="266">
        <v>54</v>
      </c>
      <c r="P63" s="192">
        <v>1</v>
      </c>
      <c r="Q63" s="192">
        <f t="shared" si="18"/>
        <v>18</v>
      </c>
      <c r="R63" s="256">
        <f t="shared" si="15"/>
        <v>0.6</v>
      </c>
      <c r="S63" s="262"/>
      <c r="T63" s="266">
        <v>48</v>
      </c>
      <c r="U63" s="192">
        <v>2</v>
      </c>
      <c r="V63" s="192">
        <f t="shared" si="19"/>
        <v>22</v>
      </c>
      <c r="W63" s="256">
        <f t="shared" si="16"/>
        <v>0.73333333333333328</v>
      </c>
      <c r="Y63" s="262"/>
    </row>
    <row r="64" spans="7:25" x14ac:dyDescent="0.25">
      <c r="G64" s="255"/>
      <c r="I64" s="262"/>
      <c r="J64" s="266">
        <v>53</v>
      </c>
      <c r="K64" s="192">
        <v>1</v>
      </c>
      <c r="L64" s="192">
        <f t="shared" si="17"/>
        <v>17</v>
      </c>
      <c r="M64" s="256">
        <f t="shared" si="14"/>
        <v>0.56666666666666665</v>
      </c>
      <c r="N64" s="262"/>
      <c r="O64" s="266">
        <v>56</v>
      </c>
      <c r="P64" s="192">
        <v>1</v>
      </c>
      <c r="Q64" s="192">
        <f t="shared" si="18"/>
        <v>19</v>
      </c>
      <c r="R64" s="256">
        <f t="shared" si="15"/>
        <v>0.6333333333333333</v>
      </c>
      <c r="S64" s="262"/>
      <c r="T64" s="266">
        <v>50</v>
      </c>
      <c r="U64" s="192">
        <v>5</v>
      </c>
      <c r="V64" s="192">
        <f t="shared" si="19"/>
        <v>27</v>
      </c>
      <c r="W64" s="256">
        <f t="shared" si="16"/>
        <v>0.9</v>
      </c>
      <c r="Y64" s="262"/>
    </row>
    <row r="65" spans="7:25" x14ac:dyDescent="0.25">
      <c r="G65" s="255"/>
      <c r="I65" s="262"/>
      <c r="J65" s="266">
        <v>54</v>
      </c>
      <c r="K65" s="192">
        <v>2</v>
      </c>
      <c r="L65" s="192">
        <f t="shared" si="17"/>
        <v>19</v>
      </c>
      <c r="M65" s="256">
        <f t="shared" si="14"/>
        <v>0.6333333333333333</v>
      </c>
      <c r="N65" s="262"/>
      <c r="O65" s="266">
        <v>57</v>
      </c>
      <c r="P65" s="192">
        <v>2</v>
      </c>
      <c r="Q65" s="192">
        <f t="shared" si="18"/>
        <v>21</v>
      </c>
      <c r="R65" s="256">
        <f t="shared" si="15"/>
        <v>0.7</v>
      </c>
      <c r="S65" s="262"/>
      <c r="T65" s="266">
        <v>51</v>
      </c>
      <c r="U65" s="192">
        <v>2</v>
      </c>
      <c r="V65" s="192">
        <f t="shared" si="19"/>
        <v>29</v>
      </c>
      <c r="W65" s="256">
        <f t="shared" si="16"/>
        <v>0.96666666666666667</v>
      </c>
      <c r="Y65" s="262"/>
    </row>
    <row r="66" spans="7:25" x14ac:dyDescent="0.25">
      <c r="G66" s="255"/>
      <c r="I66" s="262"/>
      <c r="J66" s="266">
        <v>55</v>
      </c>
      <c r="K66" s="192">
        <v>1</v>
      </c>
      <c r="L66" s="192">
        <f t="shared" si="17"/>
        <v>20</v>
      </c>
      <c r="M66" s="256">
        <f t="shared" si="14"/>
        <v>0.66666666666666663</v>
      </c>
      <c r="N66" s="262"/>
      <c r="O66" s="266">
        <v>58</v>
      </c>
      <c r="P66" s="192">
        <v>3</v>
      </c>
      <c r="Q66" s="192">
        <f t="shared" si="18"/>
        <v>24</v>
      </c>
      <c r="R66" s="256">
        <f t="shared" si="15"/>
        <v>0.8</v>
      </c>
      <c r="S66" s="262"/>
      <c r="T66" s="266">
        <v>52</v>
      </c>
      <c r="U66" s="192">
        <v>1</v>
      </c>
      <c r="V66" s="192">
        <f t="shared" si="19"/>
        <v>30</v>
      </c>
      <c r="W66" s="256">
        <f t="shared" si="16"/>
        <v>1</v>
      </c>
      <c r="Y66" s="262"/>
    </row>
    <row r="67" spans="7:25" x14ac:dyDescent="0.25">
      <c r="G67" s="255"/>
      <c r="I67" s="262"/>
      <c r="J67" s="266">
        <v>56</v>
      </c>
      <c r="K67" s="192">
        <v>1</v>
      </c>
      <c r="L67" s="192">
        <f t="shared" si="17"/>
        <v>21</v>
      </c>
      <c r="M67" s="256">
        <f t="shared" si="14"/>
        <v>0.7</v>
      </c>
      <c r="N67" s="262"/>
      <c r="O67" s="266">
        <v>60</v>
      </c>
      <c r="P67" s="192">
        <v>2</v>
      </c>
      <c r="Q67" s="192">
        <f t="shared" si="18"/>
        <v>26</v>
      </c>
      <c r="R67" s="256">
        <f t="shared" si="15"/>
        <v>0.8666666666666667</v>
      </c>
      <c r="S67" s="262"/>
      <c r="T67" s="266" t="s">
        <v>312</v>
      </c>
      <c r="U67" s="192">
        <f>SUM(U55:U66)</f>
        <v>30</v>
      </c>
      <c r="V67" s="558"/>
      <c r="W67" s="558"/>
      <c r="Y67" s="262"/>
    </row>
    <row r="68" spans="7:25" x14ac:dyDescent="0.25">
      <c r="G68" s="255"/>
      <c r="I68" s="262"/>
      <c r="J68" s="266">
        <v>57</v>
      </c>
      <c r="K68" s="192">
        <v>1</v>
      </c>
      <c r="L68" s="192">
        <f t="shared" si="17"/>
        <v>22</v>
      </c>
      <c r="M68" s="256">
        <f t="shared" si="14"/>
        <v>0.73333333333333328</v>
      </c>
      <c r="N68" s="262"/>
      <c r="O68" s="267">
        <v>62</v>
      </c>
      <c r="P68" s="192">
        <v>1</v>
      </c>
      <c r="Q68" s="192">
        <f t="shared" si="18"/>
        <v>27</v>
      </c>
      <c r="R68" s="256">
        <f t="shared" si="15"/>
        <v>0.9</v>
      </c>
      <c r="S68" s="262"/>
      <c r="T68" s="270"/>
      <c r="U68" s="264"/>
      <c r="V68" s="264"/>
      <c r="W68" s="260"/>
      <c r="Y68" s="262"/>
    </row>
    <row r="69" spans="7:25" x14ac:dyDescent="0.25">
      <c r="G69" s="255"/>
      <c r="I69" s="262"/>
      <c r="J69" s="266">
        <v>58</v>
      </c>
      <c r="K69" s="257">
        <v>1</v>
      </c>
      <c r="L69" s="192">
        <f t="shared" si="17"/>
        <v>23</v>
      </c>
      <c r="M69" s="256">
        <f t="shared" si="14"/>
        <v>0.76666666666666672</v>
      </c>
      <c r="N69" s="262"/>
      <c r="O69" s="267">
        <v>63</v>
      </c>
      <c r="P69" s="257">
        <v>1</v>
      </c>
      <c r="Q69" s="192">
        <f t="shared" si="18"/>
        <v>28</v>
      </c>
      <c r="R69" s="256">
        <f t="shared" si="15"/>
        <v>0.93333333333333335</v>
      </c>
      <c r="S69" s="262"/>
      <c r="T69" s="250" t="s">
        <v>313</v>
      </c>
      <c r="U69" s="250" t="s">
        <v>264</v>
      </c>
      <c r="V69" s="250" t="s">
        <v>309</v>
      </c>
      <c r="W69" s="250" t="s">
        <v>314</v>
      </c>
      <c r="Y69" s="262"/>
    </row>
    <row r="70" spans="7:25" x14ac:dyDescent="0.25">
      <c r="G70" s="255"/>
      <c r="I70" s="262"/>
      <c r="J70" s="266">
        <v>59</v>
      </c>
      <c r="K70" s="192">
        <v>1</v>
      </c>
      <c r="L70" s="192">
        <f t="shared" si="17"/>
        <v>24</v>
      </c>
      <c r="M70" s="256">
        <f t="shared" si="14"/>
        <v>0.8</v>
      </c>
      <c r="N70" s="262"/>
      <c r="O70" s="267">
        <v>65</v>
      </c>
      <c r="P70" s="192">
        <v>1</v>
      </c>
      <c r="Q70" s="192">
        <f t="shared" si="18"/>
        <v>29</v>
      </c>
      <c r="R70" s="256">
        <f t="shared" si="15"/>
        <v>0.96666666666666667</v>
      </c>
      <c r="S70" s="262"/>
      <c r="T70" s="196" t="s">
        <v>348</v>
      </c>
      <c r="U70" s="192">
        <v>11</v>
      </c>
      <c r="V70" s="192">
        <v>11</v>
      </c>
      <c r="W70" s="256">
        <f>V70/U73</f>
        <v>0.36666666666666664</v>
      </c>
      <c r="Y70" s="262"/>
    </row>
    <row r="71" spans="7:25" x14ac:dyDescent="0.25">
      <c r="G71" s="255"/>
      <c r="I71" s="262"/>
      <c r="J71" s="268">
        <v>60</v>
      </c>
      <c r="K71" s="192">
        <v>2</v>
      </c>
      <c r="L71" s="192">
        <f t="shared" si="17"/>
        <v>26</v>
      </c>
      <c r="M71" s="256">
        <f t="shared" si="14"/>
        <v>0.8666666666666667</v>
      </c>
      <c r="N71" s="262"/>
      <c r="O71" s="267">
        <v>69</v>
      </c>
      <c r="P71" s="192">
        <v>1</v>
      </c>
      <c r="Q71" s="192">
        <f t="shared" si="18"/>
        <v>30</v>
      </c>
      <c r="R71" s="256">
        <f t="shared" si="15"/>
        <v>1</v>
      </c>
      <c r="S71" s="262"/>
      <c r="T71" s="303" t="s">
        <v>349</v>
      </c>
      <c r="U71" s="303">
        <v>16</v>
      </c>
      <c r="V71" s="303">
        <f>SUM(V70+U71)</f>
        <v>27</v>
      </c>
      <c r="W71" s="304">
        <f>V71/U73</f>
        <v>0.9</v>
      </c>
      <c r="Y71" s="262"/>
    </row>
    <row r="72" spans="7:25" x14ac:dyDescent="0.25">
      <c r="G72" s="255"/>
      <c r="I72" s="262"/>
      <c r="J72" s="269">
        <v>61</v>
      </c>
      <c r="K72" s="253">
        <v>1</v>
      </c>
      <c r="L72" s="192">
        <f t="shared" si="17"/>
        <v>27</v>
      </c>
      <c r="M72" s="256">
        <f t="shared" si="14"/>
        <v>0.9</v>
      </c>
      <c r="N72" s="262"/>
      <c r="O72" s="147" t="s">
        <v>312</v>
      </c>
      <c r="P72" s="147">
        <f>SUM(P55:P71)</f>
        <v>30</v>
      </c>
      <c r="Q72" s="558"/>
      <c r="R72" s="558"/>
      <c r="S72" s="262"/>
      <c r="T72" s="282" t="s">
        <v>345</v>
      </c>
      <c r="U72" s="282">
        <v>3</v>
      </c>
      <c r="V72" s="282">
        <f>SUM(V71+U72)</f>
        <v>30</v>
      </c>
      <c r="W72" s="256">
        <f>V72/30</f>
        <v>1</v>
      </c>
      <c r="Y72" s="262"/>
    </row>
    <row r="73" spans="7:25" x14ac:dyDescent="0.25">
      <c r="G73" s="255"/>
      <c r="I73" s="262"/>
      <c r="J73" s="269">
        <v>62</v>
      </c>
      <c r="K73" s="253">
        <v>1</v>
      </c>
      <c r="L73" s="192">
        <f t="shared" si="17"/>
        <v>28</v>
      </c>
      <c r="M73" s="256">
        <f t="shared" si="14"/>
        <v>0.93333333333333335</v>
      </c>
      <c r="N73" s="262"/>
      <c r="O73" s="211"/>
      <c r="P73" s="251"/>
      <c r="Q73" s="264"/>
      <c r="R73" s="260"/>
      <c r="S73" s="262"/>
      <c r="T73" s="257" t="s">
        <v>315</v>
      </c>
      <c r="U73" s="192">
        <f>SUM(U70:U72)</f>
        <v>30</v>
      </c>
      <c r="V73" s="544"/>
      <c r="W73" s="544"/>
      <c r="Y73" s="262"/>
    </row>
    <row r="74" spans="7:25" x14ac:dyDescent="0.25">
      <c r="G74" s="255"/>
      <c r="I74" s="262"/>
      <c r="J74" s="269">
        <v>63</v>
      </c>
      <c r="K74" s="253">
        <v>1</v>
      </c>
      <c r="L74" s="192">
        <f t="shared" si="17"/>
        <v>29</v>
      </c>
      <c r="M74" s="256">
        <f t="shared" si="14"/>
        <v>0.96666666666666667</v>
      </c>
      <c r="N74" s="262"/>
      <c r="O74" s="250" t="s">
        <v>313</v>
      </c>
      <c r="P74" s="250" t="s">
        <v>264</v>
      </c>
      <c r="Q74" s="250" t="s">
        <v>309</v>
      </c>
      <c r="R74" s="250" t="s">
        <v>314</v>
      </c>
      <c r="S74" s="262"/>
      <c r="T74" s="257" t="s">
        <v>258</v>
      </c>
      <c r="U74" s="192"/>
      <c r="V74" s="192"/>
      <c r="W74" s="263">
        <v>49</v>
      </c>
      <c r="Y74" s="262"/>
    </row>
    <row r="75" spans="7:25" x14ac:dyDescent="0.25">
      <c r="G75" s="255"/>
      <c r="I75" s="262"/>
      <c r="J75" s="269">
        <v>66</v>
      </c>
      <c r="K75" s="253">
        <v>1</v>
      </c>
      <c r="L75" s="192">
        <f t="shared" si="17"/>
        <v>30</v>
      </c>
      <c r="M75" s="256">
        <f t="shared" si="14"/>
        <v>1</v>
      </c>
      <c r="N75" s="262"/>
      <c r="O75" s="196" t="s">
        <v>296</v>
      </c>
      <c r="P75" s="192">
        <v>3</v>
      </c>
      <c r="Q75" s="192">
        <v>3</v>
      </c>
      <c r="R75" s="256">
        <f>Q75/P80</f>
        <v>0.1</v>
      </c>
      <c r="S75" s="262"/>
      <c r="Y75" s="262"/>
    </row>
    <row r="76" spans="7:25" x14ac:dyDescent="0.25">
      <c r="G76" s="255"/>
      <c r="I76" s="262"/>
      <c r="J76" s="147" t="s">
        <v>312</v>
      </c>
      <c r="K76" s="147">
        <f>SUM(K55:K75)</f>
        <v>30</v>
      </c>
      <c r="L76" s="548"/>
      <c r="M76" s="548"/>
      <c r="N76" s="262"/>
      <c r="O76" s="282" t="s">
        <v>337</v>
      </c>
      <c r="P76" s="192">
        <v>12</v>
      </c>
      <c r="Q76" s="192">
        <f>Q75+P76</f>
        <v>15</v>
      </c>
      <c r="R76" s="256">
        <f>Q76/P80</f>
        <v>0.5</v>
      </c>
      <c r="S76" s="262"/>
      <c r="Y76" s="262"/>
    </row>
    <row r="77" spans="7:25" x14ac:dyDescent="0.25">
      <c r="G77" s="255"/>
      <c r="I77" s="262"/>
      <c r="N77" s="262"/>
      <c r="O77" s="196" t="s">
        <v>338</v>
      </c>
      <c r="P77" s="192">
        <v>6</v>
      </c>
      <c r="Q77" s="192">
        <f t="shared" ref="Q77:Q79" si="20">Q76+P77</f>
        <v>21</v>
      </c>
      <c r="R77" s="256">
        <f>Q77/P80</f>
        <v>0.7</v>
      </c>
      <c r="S77" s="262"/>
      <c r="Y77" s="262"/>
    </row>
    <row r="78" spans="7:25" x14ac:dyDescent="0.25">
      <c r="G78" s="255"/>
      <c r="I78" s="262"/>
      <c r="J78" s="250" t="s">
        <v>313</v>
      </c>
      <c r="K78" s="250" t="s">
        <v>264</v>
      </c>
      <c r="L78" s="278" t="s">
        <v>309</v>
      </c>
      <c r="M78" s="278" t="s">
        <v>314</v>
      </c>
      <c r="N78" s="262"/>
      <c r="O78" s="301" t="s">
        <v>346</v>
      </c>
      <c r="P78" s="303">
        <v>7</v>
      </c>
      <c r="Q78" s="303">
        <f t="shared" si="20"/>
        <v>28</v>
      </c>
      <c r="R78" s="304">
        <f>Q78/P80</f>
        <v>0.93333333333333335</v>
      </c>
      <c r="S78" s="262"/>
      <c r="Y78" s="262"/>
    </row>
    <row r="79" spans="7:25" x14ac:dyDescent="0.25">
      <c r="G79" s="255"/>
      <c r="I79" s="262"/>
      <c r="J79" s="196" t="s">
        <v>296</v>
      </c>
      <c r="K79" s="192">
        <v>3</v>
      </c>
      <c r="L79" s="282">
        <v>3</v>
      </c>
      <c r="M79" s="256">
        <f>L79/K84</f>
        <v>0.1</v>
      </c>
      <c r="N79" s="262"/>
      <c r="O79" s="257" t="s">
        <v>347</v>
      </c>
      <c r="P79" s="192">
        <v>2</v>
      </c>
      <c r="Q79" s="192">
        <f t="shared" si="20"/>
        <v>30</v>
      </c>
      <c r="R79" s="256">
        <f>Q79/30</f>
        <v>1</v>
      </c>
      <c r="S79" s="262"/>
      <c r="Y79" s="262"/>
    </row>
    <row r="80" spans="7:25" x14ac:dyDescent="0.25">
      <c r="G80" s="254"/>
      <c r="I80" s="262"/>
      <c r="J80" s="192" t="s">
        <v>337</v>
      </c>
      <c r="K80" s="192">
        <v>12</v>
      </c>
      <c r="L80" s="282">
        <f>L79+K80</f>
        <v>15</v>
      </c>
      <c r="M80" s="256">
        <f>L80/K84</f>
        <v>0.5</v>
      </c>
      <c r="N80" s="262"/>
      <c r="O80" s="257" t="s">
        <v>315</v>
      </c>
      <c r="P80" s="282">
        <f>SUM(P75:P79)</f>
        <v>30</v>
      </c>
      <c r="Q80" s="279"/>
      <c r="R80" s="279"/>
      <c r="S80" s="262"/>
    </row>
    <row r="81" spans="9:19" x14ac:dyDescent="0.25">
      <c r="I81" s="254"/>
      <c r="J81" s="196" t="s">
        <v>338</v>
      </c>
      <c r="K81" s="192">
        <v>7</v>
      </c>
      <c r="L81" s="282">
        <f>L80+K81</f>
        <v>22</v>
      </c>
      <c r="M81" s="256">
        <f>L81/K84</f>
        <v>0.73333333333333328</v>
      </c>
      <c r="N81" s="262"/>
      <c r="O81" s="257" t="s">
        <v>258</v>
      </c>
      <c r="P81" s="192"/>
      <c r="Q81" s="192"/>
      <c r="R81" s="263">
        <v>60</v>
      </c>
      <c r="S81" s="262"/>
    </row>
    <row r="82" spans="9:19" x14ac:dyDescent="0.25">
      <c r="J82" s="301" t="s">
        <v>346</v>
      </c>
      <c r="K82" s="303">
        <v>7</v>
      </c>
      <c r="L82" s="303">
        <f t="shared" ref="L82:L83" si="21">L81+K82</f>
        <v>29</v>
      </c>
      <c r="M82" s="304">
        <f>L82/K84</f>
        <v>0.96666666666666667</v>
      </c>
      <c r="N82" s="262"/>
      <c r="S82" s="262"/>
    </row>
    <row r="83" spans="9:19" x14ac:dyDescent="0.25">
      <c r="J83" s="257" t="s">
        <v>347</v>
      </c>
      <c r="K83" s="214">
        <v>1</v>
      </c>
      <c r="L83" s="282">
        <f t="shared" si="21"/>
        <v>30</v>
      </c>
      <c r="M83" s="256">
        <f>L83/30</f>
        <v>1</v>
      </c>
      <c r="S83" s="262"/>
    </row>
    <row r="84" spans="9:19" x14ac:dyDescent="0.25">
      <c r="J84" s="257" t="s">
        <v>315</v>
      </c>
      <c r="K84" s="192">
        <f>SUM(K79:K83)</f>
        <v>30</v>
      </c>
      <c r="L84" s="544"/>
      <c r="M84" s="544"/>
    </row>
    <row r="85" spans="9:19" x14ac:dyDescent="0.25">
      <c r="J85" s="257" t="s">
        <v>258</v>
      </c>
      <c r="K85" s="282"/>
      <c r="L85" s="282"/>
      <c r="M85" s="263">
        <v>60</v>
      </c>
    </row>
  </sheetData>
  <sortState ref="G51:G79">
    <sortCondition ref="G50"/>
  </sortState>
  <mergeCells count="55">
    <mergeCell ref="V73:W73"/>
    <mergeCell ref="J52:W52"/>
    <mergeCell ref="L24:M24"/>
    <mergeCell ref="Q24:R24"/>
    <mergeCell ref="V24:W24"/>
    <mergeCell ref="Q72:R72"/>
    <mergeCell ref="V67:W67"/>
    <mergeCell ref="J53:M53"/>
    <mergeCell ref="L32:M32"/>
    <mergeCell ref="O53:R53"/>
    <mergeCell ref="L84:M84"/>
    <mergeCell ref="F46:F48"/>
    <mergeCell ref="C44:F44"/>
    <mergeCell ref="L76:M76"/>
    <mergeCell ref="AV1:AZ1"/>
    <mergeCell ref="T6:W6"/>
    <mergeCell ref="AW14:AW15"/>
    <mergeCell ref="AX14:AX15"/>
    <mergeCell ref="AV14:AV15"/>
    <mergeCell ref="T53:W53"/>
    <mergeCell ref="AY14:AY15"/>
    <mergeCell ref="AZ14:AZ15"/>
    <mergeCell ref="J4:W4"/>
    <mergeCell ref="J5:W5"/>
    <mergeCell ref="AV19:AW19"/>
    <mergeCell ref="AV13:AZ13"/>
    <mergeCell ref="AY19:AZ19"/>
    <mergeCell ref="AC6:AD6"/>
    <mergeCell ref="C6:D6"/>
    <mergeCell ref="E6:F6"/>
    <mergeCell ref="G6:H6"/>
    <mergeCell ref="AN6:AN8"/>
    <mergeCell ref="AO6:AP6"/>
    <mergeCell ref="AQ6:AR6"/>
    <mergeCell ref="AV4:AV7"/>
    <mergeCell ref="AW6:AW7"/>
    <mergeCell ref="AX6:AX7"/>
    <mergeCell ref="AY6:AY7"/>
    <mergeCell ref="AZ6:AZ7"/>
    <mergeCell ref="AW4:BF4"/>
    <mergeCell ref="BG4:BG7"/>
    <mergeCell ref="B5:H5"/>
    <mergeCell ref="AS6:AT6"/>
    <mergeCell ref="J6:M6"/>
    <mergeCell ref="O6:R6"/>
    <mergeCell ref="B6:B8"/>
    <mergeCell ref="BA6:BA7"/>
    <mergeCell ref="BB6:BB7"/>
    <mergeCell ref="BC6:BC7"/>
    <mergeCell ref="BD6:BD7"/>
    <mergeCell ref="BF6:BF7"/>
    <mergeCell ref="BE6:BE7"/>
    <mergeCell ref="BG8:BG10"/>
    <mergeCell ref="AW5:BA5"/>
    <mergeCell ref="BB5:BF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topLeftCell="U1" zoomScale="96" zoomScaleNormal="96" workbookViewId="0">
      <selection activeCell="Y5" sqref="Y5:AJ11"/>
    </sheetView>
  </sheetViews>
  <sheetFormatPr defaultRowHeight="15" x14ac:dyDescent="0.25"/>
  <cols>
    <col min="2" max="2" width="5.42578125" customWidth="1"/>
    <col min="3" max="3" width="15" customWidth="1"/>
    <col min="4" max="4" width="21.140625" customWidth="1"/>
    <col min="5" max="5" width="21.28515625" customWidth="1"/>
    <col min="6" max="6" width="17.42578125" customWidth="1"/>
    <col min="7" max="7" width="11.140625" customWidth="1"/>
    <col min="8" max="8" width="11.42578125" customWidth="1"/>
    <col min="10" max="10" width="12.42578125" customWidth="1"/>
    <col min="11" max="11" width="11.42578125" customWidth="1"/>
    <col min="12" max="12" width="20.42578125" customWidth="1"/>
    <col min="13" max="13" width="13.42578125" customWidth="1"/>
    <col min="15" max="16" width="11.5703125" customWidth="1"/>
    <col min="17" max="17" width="20.7109375" customWidth="1"/>
    <col min="18" max="18" width="14.28515625" customWidth="1"/>
    <col min="20" max="21" width="12" customWidth="1"/>
    <col min="22" max="22" width="21.5703125" customWidth="1"/>
    <col min="23" max="23" width="13.7109375" customWidth="1"/>
    <col min="25" max="25" width="13.42578125" customWidth="1"/>
    <col min="28" max="28" width="10.7109375" customWidth="1"/>
    <col min="29" max="29" width="10.140625" customWidth="1"/>
    <col min="32" max="32" width="10.42578125" customWidth="1"/>
    <col min="33" max="33" width="11.28515625" customWidth="1"/>
    <col min="34" max="34" width="10.42578125" customWidth="1"/>
  </cols>
  <sheetData>
    <row r="1" spans="1:36" x14ac:dyDescent="0.25">
      <c r="S1" s="254"/>
    </row>
    <row r="2" spans="1:36" x14ac:dyDescent="0.25">
      <c r="B2" s="559" t="s">
        <v>351</v>
      </c>
      <c r="C2" s="559"/>
      <c r="D2" s="559"/>
      <c r="E2" s="559"/>
      <c r="F2" s="559"/>
      <c r="G2" s="559"/>
      <c r="H2" s="559"/>
      <c r="S2" s="255"/>
    </row>
    <row r="3" spans="1:36" x14ac:dyDescent="0.25">
      <c r="S3" s="255"/>
    </row>
    <row r="4" spans="1:36" ht="15.75" thickBot="1" x14ac:dyDescent="0.3">
      <c r="B4" s="560" t="s">
        <v>255</v>
      </c>
      <c r="C4" s="560"/>
      <c r="D4" s="560"/>
      <c r="E4" s="560"/>
      <c r="F4" s="560"/>
      <c r="G4" s="560"/>
      <c r="H4" s="560"/>
      <c r="S4" s="255"/>
    </row>
    <row r="5" spans="1:36" ht="15.75" customHeight="1" x14ac:dyDescent="0.25">
      <c r="B5" s="514" t="s">
        <v>55</v>
      </c>
      <c r="C5" s="514" t="s">
        <v>242</v>
      </c>
      <c r="D5" s="514"/>
      <c r="E5" s="514" t="s">
        <v>243</v>
      </c>
      <c r="F5" s="514"/>
      <c r="G5" s="514" t="s">
        <v>250</v>
      </c>
      <c r="H5" s="514"/>
      <c r="J5" s="515" t="s">
        <v>316</v>
      </c>
      <c r="K5" s="515"/>
      <c r="L5" s="515"/>
      <c r="M5" s="515"/>
      <c r="N5" s="255"/>
      <c r="O5" s="515" t="s">
        <v>243</v>
      </c>
      <c r="P5" s="515"/>
      <c r="Q5" s="515"/>
      <c r="R5" s="515"/>
      <c r="S5" s="255"/>
      <c r="T5" s="515" t="s">
        <v>317</v>
      </c>
      <c r="U5" s="515"/>
      <c r="V5" s="515"/>
      <c r="W5" s="515"/>
      <c r="Y5" s="561" t="s">
        <v>247</v>
      </c>
      <c r="Z5" s="564" t="s">
        <v>409</v>
      </c>
      <c r="AA5" s="564"/>
      <c r="AB5" s="564"/>
      <c r="AC5" s="564"/>
      <c r="AD5" s="564"/>
      <c r="AE5" s="564"/>
      <c r="AF5" s="564"/>
      <c r="AG5" s="564"/>
      <c r="AH5" s="564"/>
      <c r="AI5" s="564"/>
      <c r="AJ5" s="563" t="s">
        <v>497</v>
      </c>
    </row>
    <row r="6" spans="1:36" ht="15" customHeight="1" x14ac:dyDescent="0.25">
      <c r="B6" s="514"/>
      <c r="C6" s="306" t="s">
        <v>256</v>
      </c>
      <c r="D6" s="306" t="s">
        <v>257</v>
      </c>
      <c r="E6" s="306" t="s">
        <v>256</v>
      </c>
      <c r="F6" s="306" t="s">
        <v>257</v>
      </c>
      <c r="G6" s="306" t="s">
        <v>256</v>
      </c>
      <c r="H6" s="306" t="s">
        <v>257</v>
      </c>
      <c r="J6" s="306" t="s">
        <v>313</v>
      </c>
      <c r="K6" s="306" t="s">
        <v>264</v>
      </c>
      <c r="L6" s="306" t="s">
        <v>309</v>
      </c>
      <c r="M6" s="306" t="s">
        <v>314</v>
      </c>
      <c r="N6" s="255"/>
      <c r="O6" s="306" t="s">
        <v>313</v>
      </c>
      <c r="P6" s="306" t="s">
        <v>264</v>
      </c>
      <c r="Q6" s="306" t="s">
        <v>309</v>
      </c>
      <c r="R6" s="306" t="s">
        <v>314</v>
      </c>
      <c r="S6" s="255"/>
      <c r="T6" s="306" t="s">
        <v>313</v>
      </c>
      <c r="U6" s="306" t="s">
        <v>264</v>
      </c>
      <c r="V6" s="306" t="s">
        <v>309</v>
      </c>
      <c r="W6" s="306" t="s">
        <v>314</v>
      </c>
      <c r="Y6" s="539"/>
      <c r="Z6" s="565" t="s">
        <v>410</v>
      </c>
      <c r="AA6" s="565"/>
      <c r="AB6" s="565"/>
      <c r="AC6" s="565"/>
      <c r="AD6" s="565"/>
      <c r="AE6" s="565" t="s">
        <v>413</v>
      </c>
      <c r="AF6" s="565"/>
      <c r="AG6" s="565"/>
      <c r="AH6" s="565"/>
      <c r="AI6" s="565"/>
      <c r="AJ6" s="521"/>
    </row>
    <row r="7" spans="1:36" ht="15" customHeight="1" x14ac:dyDescent="0.25">
      <c r="B7" s="514"/>
      <c r="C7" s="310" t="s">
        <v>244</v>
      </c>
      <c r="D7" s="199" t="s">
        <v>244</v>
      </c>
      <c r="E7" s="310" t="s">
        <v>244</v>
      </c>
      <c r="F7" s="199" t="s">
        <v>244</v>
      </c>
      <c r="G7" s="310" t="s">
        <v>244</v>
      </c>
      <c r="H7" s="199" t="s">
        <v>244</v>
      </c>
      <c r="J7" s="266">
        <v>40</v>
      </c>
      <c r="K7" s="309">
        <v>1</v>
      </c>
      <c r="L7" s="309">
        <v>1</v>
      </c>
      <c r="M7" s="256">
        <f>L7/K23</f>
        <v>3.3333333333333333E-2</v>
      </c>
      <c r="N7" s="255"/>
      <c r="O7" s="266">
        <v>39</v>
      </c>
      <c r="P7" s="309">
        <v>2</v>
      </c>
      <c r="Q7" s="309">
        <v>2</v>
      </c>
      <c r="R7" s="256">
        <f>Q7/30</f>
        <v>6.6666666666666666E-2</v>
      </c>
      <c r="S7" s="255"/>
      <c r="T7" s="266">
        <v>35</v>
      </c>
      <c r="U7" s="309">
        <v>1</v>
      </c>
      <c r="V7" s="309">
        <v>1</v>
      </c>
      <c r="W7" s="256">
        <f>V7/30</f>
        <v>3.3333333333333333E-2</v>
      </c>
      <c r="Y7" s="539"/>
      <c r="Z7" s="519" t="s">
        <v>411</v>
      </c>
      <c r="AA7" s="519" t="s">
        <v>412</v>
      </c>
      <c r="AB7" s="519" t="s">
        <v>248</v>
      </c>
      <c r="AC7" s="519" t="s">
        <v>268</v>
      </c>
      <c r="AD7" s="517" t="s">
        <v>451</v>
      </c>
      <c r="AE7" s="519" t="s">
        <v>411</v>
      </c>
      <c r="AF7" s="519" t="s">
        <v>412</v>
      </c>
      <c r="AG7" s="519" t="s">
        <v>248</v>
      </c>
      <c r="AH7" s="519" t="s">
        <v>268</v>
      </c>
      <c r="AI7" s="519" t="s">
        <v>451</v>
      </c>
      <c r="AJ7" s="521"/>
    </row>
    <row r="8" spans="1:36" ht="15.75" thickBot="1" x14ac:dyDescent="0.3">
      <c r="A8" s="255"/>
      <c r="B8" s="200">
        <v>1</v>
      </c>
      <c r="C8" s="196">
        <v>49</v>
      </c>
      <c r="D8" s="202">
        <v>38</v>
      </c>
      <c r="E8" s="196">
        <v>50</v>
      </c>
      <c r="F8" s="202">
        <v>35</v>
      </c>
      <c r="G8" s="196">
        <v>35</v>
      </c>
      <c r="H8" s="202">
        <v>45</v>
      </c>
      <c r="J8" s="266">
        <v>43</v>
      </c>
      <c r="K8" s="309">
        <v>1</v>
      </c>
      <c r="L8" s="309">
        <f>L7+K8</f>
        <v>2</v>
      </c>
      <c r="M8" s="256">
        <f>L8/K23</f>
        <v>6.6666666666666666E-2</v>
      </c>
      <c r="N8" s="255"/>
      <c r="O8" s="266">
        <v>40</v>
      </c>
      <c r="P8" s="309">
        <v>1</v>
      </c>
      <c r="Q8" s="309">
        <f>Q7+P8</f>
        <v>3</v>
      </c>
      <c r="R8" s="256">
        <f t="shared" ref="R8:R20" si="0">Q8/30</f>
        <v>0.1</v>
      </c>
      <c r="S8" s="255"/>
      <c r="T8" s="266">
        <v>36</v>
      </c>
      <c r="U8" s="309">
        <v>1</v>
      </c>
      <c r="V8" s="309">
        <f>V7+U8</f>
        <v>2</v>
      </c>
      <c r="W8" s="256">
        <f t="shared" ref="W8:W20" si="1">V8/30</f>
        <v>6.6666666666666666E-2</v>
      </c>
      <c r="Y8" s="540"/>
      <c r="Z8" s="520"/>
      <c r="AA8" s="520"/>
      <c r="AB8" s="520"/>
      <c r="AC8" s="520"/>
      <c r="AD8" s="518"/>
      <c r="AE8" s="520"/>
      <c r="AF8" s="520"/>
      <c r="AG8" s="520"/>
      <c r="AH8" s="520"/>
      <c r="AI8" s="520"/>
      <c r="AJ8" s="522"/>
    </row>
    <row r="9" spans="1:36" x14ac:dyDescent="0.25">
      <c r="A9" s="255"/>
      <c r="B9" s="200">
        <v>2</v>
      </c>
      <c r="C9" s="196">
        <v>50</v>
      </c>
      <c r="D9" s="202">
        <v>41</v>
      </c>
      <c r="E9" s="196">
        <v>44</v>
      </c>
      <c r="F9" s="202">
        <v>45</v>
      </c>
      <c r="G9" s="196">
        <v>55</v>
      </c>
      <c r="H9" s="202">
        <v>43</v>
      </c>
      <c r="J9" s="266">
        <v>44</v>
      </c>
      <c r="K9" s="309">
        <v>2</v>
      </c>
      <c r="L9" s="309">
        <f t="shared" ref="L9:L22" si="2">L8+K9</f>
        <v>4</v>
      </c>
      <c r="M9" s="256">
        <f>L9/K23</f>
        <v>0.13333333333333333</v>
      </c>
      <c r="N9" s="255"/>
      <c r="O9" s="266">
        <v>41</v>
      </c>
      <c r="P9" s="309">
        <v>2</v>
      </c>
      <c r="Q9" s="309">
        <f t="shared" ref="Q9:Q20" si="3">Q8+P9</f>
        <v>5</v>
      </c>
      <c r="R9" s="256">
        <f t="shared" si="0"/>
        <v>0.16666666666666666</v>
      </c>
      <c r="S9" s="255"/>
      <c r="T9" s="266">
        <v>38</v>
      </c>
      <c r="U9" s="309">
        <v>1</v>
      </c>
      <c r="V9" s="309">
        <f t="shared" ref="V9:V14" si="4">V8+U9</f>
        <v>3</v>
      </c>
      <c r="W9" s="256">
        <f t="shared" si="1"/>
        <v>0.1</v>
      </c>
      <c r="Y9" s="337" t="s">
        <v>249</v>
      </c>
      <c r="Z9" s="336">
        <v>59</v>
      </c>
      <c r="AA9" s="336">
        <v>40</v>
      </c>
      <c r="AB9" s="337">
        <f>AVERAGE(Z9:AA9)</f>
        <v>49.5</v>
      </c>
      <c r="AC9" s="392">
        <v>57</v>
      </c>
      <c r="AD9" s="393">
        <f>AC9-40</f>
        <v>17</v>
      </c>
      <c r="AE9" s="337">
        <v>60</v>
      </c>
      <c r="AF9" s="337">
        <v>38</v>
      </c>
      <c r="AG9" s="337">
        <f>AVERAGE(AE9:AF9)</f>
        <v>49</v>
      </c>
      <c r="AH9" s="392">
        <v>58</v>
      </c>
      <c r="AI9" s="393">
        <f>AH9-40</f>
        <v>18</v>
      </c>
      <c r="AJ9" s="562">
        <v>40</v>
      </c>
    </row>
    <row r="10" spans="1:36" x14ac:dyDescent="0.25">
      <c r="A10" s="255"/>
      <c r="B10" s="200">
        <v>3</v>
      </c>
      <c r="C10" s="196">
        <v>43</v>
      </c>
      <c r="D10" s="202">
        <v>48</v>
      </c>
      <c r="E10" s="196">
        <v>39</v>
      </c>
      <c r="F10" s="202">
        <v>50</v>
      </c>
      <c r="G10" s="196">
        <v>36</v>
      </c>
      <c r="H10" s="202">
        <v>44</v>
      </c>
      <c r="J10" s="266">
        <v>45</v>
      </c>
      <c r="K10" s="309">
        <v>1</v>
      </c>
      <c r="L10" s="309">
        <f t="shared" si="2"/>
        <v>5</v>
      </c>
      <c r="M10" s="256">
        <f>L10/K23</f>
        <v>0.16666666666666666</v>
      </c>
      <c r="N10" s="255"/>
      <c r="O10" s="266">
        <v>42</v>
      </c>
      <c r="P10" s="309">
        <v>1</v>
      </c>
      <c r="Q10" s="309">
        <f t="shared" si="3"/>
        <v>6</v>
      </c>
      <c r="R10" s="256">
        <f t="shared" si="0"/>
        <v>0.2</v>
      </c>
      <c r="S10" s="255"/>
      <c r="T10" s="266">
        <v>39</v>
      </c>
      <c r="U10" s="309">
        <v>1</v>
      </c>
      <c r="V10" s="309">
        <f t="shared" si="4"/>
        <v>4</v>
      </c>
      <c r="W10" s="256">
        <f t="shared" si="1"/>
        <v>0.13333333333333333</v>
      </c>
      <c r="Y10" s="253" t="s">
        <v>245</v>
      </c>
      <c r="Z10" s="338">
        <v>54</v>
      </c>
      <c r="AA10" s="338">
        <v>39</v>
      </c>
      <c r="AB10" s="253">
        <f t="shared" ref="AB10:AB11" si="5">AVERAGE(Z10:AA10)</f>
        <v>46.5</v>
      </c>
      <c r="AC10" s="390">
        <v>50</v>
      </c>
      <c r="AD10" s="391">
        <f t="shared" ref="AD10:AD11" si="6">AC10-40</f>
        <v>10</v>
      </c>
      <c r="AE10" s="253">
        <v>64</v>
      </c>
      <c r="AF10" s="253">
        <v>35</v>
      </c>
      <c r="AG10" s="253">
        <f t="shared" ref="AG10:AG11" si="7">AVERAGE(AE10:AF10)</f>
        <v>49.5</v>
      </c>
      <c r="AH10" s="390">
        <v>57</v>
      </c>
      <c r="AI10" s="391">
        <f t="shared" ref="AI10:AI11" si="8">AH10-40</f>
        <v>17</v>
      </c>
      <c r="AJ10" s="523"/>
    </row>
    <row r="11" spans="1:36" x14ac:dyDescent="0.25">
      <c r="A11" s="255"/>
      <c r="B11" s="200">
        <v>4</v>
      </c>
      <c r="C11" s="196">
        <v>54</v>
      </c>
      <c r="D11" s="202">
        <v>48</v>
      </c>
      <c r="E11" s="196">
        <v>40</v>
      </c>
      <c r="F11" s="202">
        <v>41</v>
      </c>
      <c r="G11" s="196">
        <v>38</v>
      </c>
      <c r="H11" s="202">
        <v>45</v>
      </c>
      <c r="J11" s="266">
        <v>47</v>
      </c>
      <c r="K11" s="309">
        <v>1</v>
      </c>
      <c r="L11" s="309">
        <f t="shared" si="2"/>
        <v>6</v>
      </c>
      <c r="M11" s="256">
        <f>L11/K23</f>
        <v>0.2</v>
      </c>
      <c r="N11" s="255"/>
      <c r="O11" s="266">
        <v>44</v>
      </c>
      <c r="P11" s="309">
        <v>2</v>
      </c>
      <c r="Q11" s="309">
        <f t="shared" si="3"/>
        <v>8</v>
      </c>
      <c r="R11" s="256">
        <f t="shared" si="0"/>
        <v>0.26666666666666666</v>
      </c>
      <c r="S11" s="255"/>
      <c r="T11" s="266">
        <v>40</v>
      </c>
      <c r="U11" s="309">
        <v>2</v>
      </c>
      <c r="V11" s="309">
        <f t="shared" si="4"/>
        <v>6</v>
      </c>
      <c r="W11" s="256">
        <f t="shared" si="1"/>
        <v>0.2</v>
      </c>
      <c r="Y11" s="253" t="s">
        <v>246</v>
      </c>
      <c r="Z11" s="338">
        <v>55</v>
      </c>
      <c r="AA11" s="338">
        <v>35</v>
      </c>
      <c r="AB11" s="253">
        <f t="shared" si="5"/>
        <v>45</v>
      </c>
      <c r="AC11" s="390">
        <v>49</v>
      </c>
      <c r="AD11" s="391">
        <f t="shared" si="6"/>
        <v>9</v>
      </c>
      <c r="AE11" s="253">
        <v>48</v>
      </c>
      <c r="AF11" s="253">
        <v>35</v>
      </c>
      <c r="AG11" s="253">
        <f t="shared" si="7"/>
        <v>41.5</v>
      </c>
      <c r="AH11" s="390">
        <v>47</v>
      </c>
      <c r="AI11" s="391">
        <f t="shared" si="8"/>
        <v>7</v>
      </c>
      <c r="AJ11" s="524"/>
    </row>
    <row r="12" spans="1:36" x14ac:dyDescent="0.25">
      <c r="A12" s="255"/>
      <c r="B12" s="200">
        <v>5</v>
      </c>
      <c r="C12" s="196">
        <v>55</v>
      </c>
      <c r="D12" s="202">
        <v>47</v>
      </c>
      <c r="E12" s="196">
        <v>54</v>
      </c>
      <c r="F12" s="202">
        <v>47</v>
      </c>
      <c r="G12" s="196">
        <v>39</v>
      </c>
      <c r="H12" s="202">
        <v>44</v>
      </c>
      <c r="J12" s="266">
        <v>48</v>
      </c>
      <c r="K12" s="309">
        <v>2</v>
      </c>
      <c r="L12" s="309">
        <f t="shared" si="2"/>
        <v>8</v>
      </c>
      <c r="M12" s="256">
        <f>L12/K23</f>
        <v>0.26666666666666666</v>
      </c>
      <c r="N12" s="255"/>
      <c r="O12" s="266">
        <v>45</v>
      </c>
      <c r="P12" s="309">
        <v>1</v>
      </c>
      <c r="Q12" s="309">
        <f t="shared" si="3"/>
        <v>9</v>
      </c>
      <c r="R12" s="256">
        <f t="shared" si="0"/>
        <v>0.3</v>
      </c>
      <c r="S12" s="255"/>
      <c r="T12" s="266">
        <v>41</v>
      </c>
      <c r="U12" s="309">
        <v>1</v>
      </c>
      <c r="V12" s="309">
        <f t="shared" si="4"/>
        <v>7</v>
      </c>
      <c r="W12" s="256">
        <f t="shared" si="1"/>
        <v>0.23333333333333334</v>
      </c>
      <c r="Y12" s="197"/>
      <c r="Z12" s="197"/>
      <c r="AA12" s="197"/>
      <c r="AB12" s="197"/>
      <c r="AC12" s="197"/>
      <c r="AD12" s="197"/>
      <c r="AE12" s="197"/>
      <c r="AF12" s="197"/>
      <c r="AG12" s="197"/>
      <c r="AH12" s="197"/>
      <c r="AI12" s="197"/>
      <c r="AJ12" s="197"/>
    </row>
    <row r="13" spans="1:36" x14ac:dyDescent="0.25">
      <c r="A13" s="255"/>
      <c r="B13" s="200">
        <v>6</v>
      </c>
      <c r="C13" s="196">
        <v>40</v>
      </c>
      <c r="D13" s="202">
        <v>49</v>
      </c>
      <c r="E13" s="196">
        <v>50</v>
      </c>
      <c r="F13" s="202">
        <v>50</v>
      </c>
      <c r="G13" s="196">
        <v>40</v>
      </c>
      <c r="H13" s="202">
        <v>47</v>
      </c>
      <c r="J13" s="266">
        <v>49</v>
      </c>
      <c r="K13" s="309">
        <v>6</v>
      </c>
      <c r="L13" s="309">
        <f t="shared" si="2"/>
        <v>14</v>
      </c>
      <c r="M13" s="256">
        <f>L13/K23</f>
        <v>0.46666666666666667</v>
      </c>
      <c r="N13" s="255"/>
      <c r="O13" s="266">
        <v>46</v>
      </c>
      <c r="P13" s="309">
        <v>3</v>
      </c>
      <c r="Q13" s="309">
        <f t="shared" si="3"/>
        <v>12</v>
      </c>
      <c r="R13" s="256">
        <f t="shared" si="0"/>
        <v>0.4</v>
      </c>
      <c r="S13" s="255"/>
      <c r="T13" s="266">
        <v>42</v>
      </c>
      <c r="U13" s="309">
        <v>1</v>
      </c>
      <c r="V13" s="309">
        <f t="shared" si="4"/>
        <v>8</v>
      </c>
      <c r="W13" s="256">
        <f t="shared" si="1"/>
        <v>0.26666666666666666</v>
      </c>
    </row>
    <row r="14" spans="1:36" x14ac:dyDescent="0.25">
      <c r="A14" s="255"/>
      <c r="B14" s="200">
        <v>7</v>
      </c>
      <c r="C14" s="196">
        <v>48</v>
      </c>
      <c r="D14" s="202">
        <v>55</v>
      </c>
      <c r="E14" s="196">
        <v>49</v>
      </c>
      <c r="F14" s="202">
        <v>50</v>
      </c>
      <c r="G14" s="196">
        <v>41</v>
      </c>
      <c r="H14" s="202">
        <v>45</v>
      </c>
      <c r="J14" s="266">
        <v>50</v>
      </c>
      <c r="K14" s="309">
        <v>4</v>
      </c>
      <c r="L14" s="309">
        <f t="shared" si="2"/>
        <v>18</v>
      </c>
      <c r="M14" s="256">
        <f>L14/K23</f>
        <v>0.6</v>
      </c>
      <c r="N14" s="255"/>
      <c r="O14" s="266">
        <v>47</v>
      </c>
      <c r="P14" s="309">
        <v>3</v>
      </c>
      <c r="Q14" s="309">
        <f t="shared" si="3"/>
        <v>15</v>
      </c>
      <c r="R14" s="256">
        <f t="shared" si="0"/>
        <v>0.5</v>
      </c>
      <c r="S14" s="255"/>
      <c r="T14" s="266">
        <v>45</v>
      </c>
      <c r="U14" s="309">
        <v>6</v>
      </c>
      <c r="V14" s="309">
        <f t="shared" si="4"/>
        <v>14</v>
      </c>
      <c r="W14" s="256">
        <f t="shared" si="1"/>
        <v>0.46666666666666667</v>
      </c>
    </row>
    <row r="15" spans="1:36" x14ac:dyDescent="0.25">
      <c r="A15" s="255"/>
      <c r="B15" s="200">
        <v>8</v>
      </c>
      <c r="C15" s="196">
        <v>49</v>
      </c>
      <c r="D15" s="202">
        <v>51</v>
      </c>
      <c r="E15" s="196">
        <v>47</v>
      </c>
      <c r="F15" s="202">
        <v>54</v>
      </c>
      <c r="G15" s="196">
        <v>45</v>
      </c>
      <c r="H15" s="202">
        <v>42</v>
      </c>
      <c r="J15" s="266">
        <v>51</v>
      </c>
      <c r="K15" s="309">
        <v>2</v>
      </c>
      <c r="L15" s="309">
        <f t="shared" si="2"/>
        <v>20</v>
      </c>
      <c r="M15" s="256">
        <f>L15/K23</f>
        <v>0.66666666666666663</v>
      </c>
      <c r="N15" s="255"/>
      <c r="O15" s="266">
        <v>48</v>
      </c>
      <c r="P15" s="309">
        <v>5</v>
      </c>
      <c r="Q15" s="309">
        <f t="shared" si="3"/>
        <v>20</v>
      </c>
      <c r="R15" s="256">
        <f t="shared" si="0"/>
        <v>0.66666666666666663</v>
      </c>
      <c r="S15" s="255"/>
      <c r="T15" s="266">
        <v>46</v>
      </c>
      <c r="U15" s="309">
        <v>3</v>
      </c>
      <c r="V15" s="309">
        <f t="shared" ref="V15:V20" si="9">V14+U15</f>
        <v>17</v>
      </c>
      <c r="W15" s="256">
        <f t="shared" si="1"/>
        <v>0.56666666666666665</v>
      </c>
    </row>
    <row r="16" spans="1:36" x14ac:dyDescent="0.25">
      <c r="A16" s="255"/>
      <c r="B16" s="200">
        <v>9</v>
      </c>
      <c r="C16" s="196">
        <v>50</v>
      </c>
      <c r="D16" s="202">
        <v>56</v>
      </c>
      <c r="E16" s="196">
        <v>46</v>
      </c>
      <c r="F16" s="202">
        <v>57</v>
      </c>
      <c r="G16" s="196">
        <v>45</v>
      </c>
      <c r="H16" s="202">
        <v>40</v>
      </c>
      <c r="J16" s="266">
        <v>52</v>
      </c>
      <c r="K16" s="309">
        <v>1</v>
      </c>
      <c r="L16" s="309">
        <f t="shared" si="2"/>
        <v>21</v>
      </c>
      <c r="M16" s="256">
        <f>L16/K23</f>
        <v>0.7</v>
      </c>
      <c r="N16" s="255"/>
      <c r="O16" s="266">
        <v>49</v>
      </c>
      <c r="P16" s="309">
        <v>3</v>
      </c>
      <c r="Q16" s="309">
        <f t="shared" si="3"/>
        <v>23</v>
      </c>
      <c r="R16" s="256">
        <f t="shared" si="0"/>
        <v>0.76666666666666672</v>
      </c>
      <c r="S16" s="255"/>
      <c r="T16" s="266">
        <v>47</v>
      </c>
      <c r="U16" s="309">
        <v>4</v>
      </c>
      <c r="V16" s="309">
        <f t="shared" si="9"/>
        <v>21</v>
      </c>
      <c r="W16" s="256">
        <f t="shared" si="1"/>
        <v>0.7</v>
      </c>
    </row>
    <row r="17" spans="1:23" x14ac:dyDescent="0.25">
      <c r="A17" s="255"/>
      <c r="B17" s="200">
        <v>10</v>
      </c>
      <c r="C17" s="196">
        <v>51</v>
      </c>
      <c r="D17" s="202">
        <v>58</v>
      </c>
      <c r="E17" s="196">
        <v>48</v>
      </c>
      <c r="F17" s="202">
        <v>64</v>
      </c>
      <c r="G17" s="196">
        <v>46</v>
      </c>
      <c r="H17" s="202">
        <v>40</v>
      </c>
      <c r="J17" s="266">
        <v>54</v>
      </c>
      <c r="K17" s="309">
        <v>1</v>
      </c>
      <c r="L17" s="309">
        <f t="shared" si="2"/>
        <v>22</v>
      </c>
      <c r="M17" s="256">
        <f>L17/K23</f>
        <v>0.73333333333333328</v>
      </c>
      <c r="N17" s="255"/>
      <c r="O17" s="266">
        <v>50</v>
      </c>
      <c r="P17" s="309">
        <v>4</v>
      </c>
      <c r="Q17" s="309">
        <f t="shared" si="3"/>
        <v>27</v>
      </c>
      <c r="R17" s="256">
        <f t="shared" si="0"/>
        <v>0.9</v>
      </c>
      <c r="S17" s="255"/>
      <c r="T17" s="266">
        <v>48</v>
      </c>
      <c r="U17" s="309">
        <v>3</v>
      </c>
      <c r="V17" s="309">
        <f t="shared" si="9"/>
        <v>24</v>
      </c>
      <c r="W17" s="256">
        <f t="shared" si="1"/>
        <v>0.8</v>
      </c>
    </row>
    <row r="18" spans="1:23" x14ac:dyDescent="0.25">
      <c r="A18" s="255"/>
      <c r="B18" s="200">
        <v>11</v>
      </c>
      <c r="C18" s="196">
        <v>55</v>
      </c>
      <c r="D18" s="202">
        <v>58</v>
      </c>
      <c r="E18" s="196">
        <v>46</v>
      </c>
      <c r="F18" s="202">
        <v>61</v>
      </c>
      <c r="G18" s="196">
        <v>48</v>
      </c>
      <c r="H18" s="202">
        <v>45</v>
      </c>
      <c r="J18" s="266">
        <v>55</v>
      </c>
      <c r="K18" s="309">
        <v>2</v>
      </c>
      <c r="L18" s="309">
        <f t="shared" si="2"/>
        <v>24</v>
      </c>
      <c r="M18" s="256">
        <f>L18/K23</f>
        <v>0.8</v>
      </c>
      <c r="N18" s="255"/>
      <c r="O18" s="266">
        <v>51</v>
      </c>
      <c r="P18" s="309">
        <v>1</v>
      </c>
      <c r="Q18" s="309">
        <f t="shared" si="3"/>
        <v>28</v>
      </c>
      <c r="R18" s="256">
        <f t="shared" si="0"/>
        <v>0.93333333333333335</v>
      </c>
      <c r="S18" s="255"/>
      <c r="T18" s="266">
        <v>49</v>
      </c>
      <c r="U18" s="309">
        <v>4</v>
      </c>
      <c r="V18" s="309">
        <f t="shared" si="9"/>
        <v>28</v>
      </c>
      <c r="W18" s="256">
        <f t="shared" si="1"/>
        <v>0.93333333333333335</v>
      </c>
    </row>
    <row r="19" spans="1:23" x14ac:dyDescent="0.25">
      <c r="A19" s="255"/>
      <c r="B19" s="200">
        <v>12</v>
      </c>
      <c r="C19" s="196">
        <v>49</v>
      </c>
      <c r="D19" s="202">
        <v>59</v>
      </c>
      <c r="E19" s="196">
        <v>49</v>
      </c>
      <c r="F19" s="202">
        <v>54</v>
      </c>
      <c r="G19" s="196">
        <v>45</v>
      </c>
      <c r="H19" s="202">
        <v>43</v>
      </c>
      <c r="J19" s="266">
        <v>56</v>
      </c>
      <c r="K19" s="309">
        <v>1</v>
      </c>
      <c r="L19" s="309">
        <f t="shared" si="2"/>
        <v>25</v>
      </c>
      <c r="M19" s="256">
        <f>L19/K23</f>
        <v>0.83333333333333337</v>
      </c>
      <c r="N19" s="255"/>
      <c r="O19" s="266">
        <v>52</v>
      </c>
      <c r="P19" s="309">
        <v>1</v>
      </c>
      <c r="Q19" s="309">
        <f t="shared" si="3"/>
        <v>29</v>
      </c>
      <c r="R19" s="256">
        <f>Q19/30</f>
        <v>0.96666666666666667</v>
      </c>
      <c r="S19" s="255"/>
      <c r="T19" s="266">
        <v>50</v>
      </c>
      <c r="U19" s="309">
        <v>1</v>
      </c>
      <c r="V19" s="309">
        <f t="shared" si="9"/>
        <v>29</v>
      </c>
      <c r="W19" s="256">
        <f t="shared" si="1"/>
        <v>0.96666666666666667</v>
      </c>
    </row>
    <row r="20" spans="1:23" x14ac:dyDescent="0.25">
      <c r="A20" s="255"/>
      <c r="B20" s="200">
        <v>13</v>
      </c>
      <c r="C20" s="196">
        <v>56</v>
      </c>
      <c r="D20" s="202">
        <v>60</v>
      </c>
      <c r="E20" s="196">
        <v>47</v>
      </c>
      <c r="F20" s="202">
        <v>57</v>
      </c>
      <c r="G20" s="196">
        <v>45</v>
      </c>
      <c r="H20" s="202">
        <v>46</v>
      </c>
      <c r="J20" s="266">
        <v>57</v>
      </c>
      <c r="K20" s="309">
        <v>1</v>
      </c>
      <c r="L20" s="309">
        <f t="shared" si="2"/>
        <v>26</v>
      </c>
      <c r="M20" s="256">
        <f>L20/K23</f>
        <v>0.8666666666666667</v>
      </c>
      <c r="N20" s="255"/>
      <c r="O20" s="266">
        <v>54</v>
      </c>
      <c r="P20" s="309">
        <v>1</v>
      </c>
      <c r="Q20" s="309">
        <f t="shared" si="3"/>
        <v>30</v>
      </c>
      <c r="R20" s="256">
        <f t="shared" si="0"/>
        <v>1</v>
      </c>
      <c r="S20" s="255"/>
      <c r="T20" s="266">
        <v>55</v>
      </c>
      <c r="U20" s="309">
        <v>1</v>
      </c>
      <c r="V20" s="309">
        <f t="shared" si="9"/>
        <v>30</v>
      </c>
      <c r="W20" s="256">
        <f t="shared" si="1"/>
        <v>1</v>
      </c>
    </row>
    <row r="21" spans="1:23" x14ac:dyDescent="0.25">
      <c r="A21" s="255"/>
      <c r="B21" s="200">
        <v>14</v>
      </c>
      <c r="C21" s="196">
        <v>58</v>
      </c>
      <c r="D21" s="202">
        <v>59</v>
      </c>
      <c r="E21" s="196">
        <v>47</v>
      </c>
      <c r="F21" s="202">
        <v>52</v>
      </c>
      <c r="G21" s="196">
        <v>48</v>
      </c>
      <c r="H21" s="202">
        <v>45</v>
      </c>
      <c r="J21" s="266">
        <v>58</v>
      </c>
      <c r="K21" s="257">
        <v>2</v>
      </c>
      <c r="L21" s="309">
        <f t="shared" si="2"/>
        <v>28</v>
      </c>
      <c r="M21" s="256">
        <f>L21/K23</f>
        <v>0.93333333333333335</v>
      </c>
      <c r="N21" s="255"/>
      <c r="O21" s="309" t="s">
        <v>315</v>
      </c>
      <c r="P21" s="309">
        <f>SUM(P7:P20)</f>
        <v>30</v>
      </c>
      <c r="Q21" s="558"/>
      <c r="R21" s="558"/>
      <c r="S21" s="255"/>
      <c r="T21" s="309" t="s">
        <v>315</v>
      </c>
      <c r="U21" s="309">
        <f>SUM(U7:U20)</f>
        <v>30</v>
      </c>
      <c r="V21" s="558">
        <f>PERCENTILE(T7:T20,0.85)</f>
        <v>49.05</v>
      </c>
      <c r="W21" s="558"/>
    </row>
    <row r="22" spans="1:23" x14ac:dyDescent="0.25">
      <c r="A22" s="255"/>
      <c r="B22" s="200">
        <v>15</v>
      </c>
      <c r="C22" s="196">
        <v>57</v>
      </c>
      <c r="D22" s="202">
        <v>57</v>
      </c>
      <c r="E22" s="196">
        <v>44</v>
      </c>
      <c r="F22" s="202">
        <v>50</v>
      </c>
      <c r="G22" s="196">
        <v>50</v>
      </c>
      <c r="H22" s="202">
        <v>44</v>
      </c>
      <c r="J22" s="266">
        <v>59</v>
      </c>
      <c r="K22" s="309">
        <v>2</v>
      </c>
      <c r="L22" s="309">
        <f t="shared" si="2"/>
        <v>30</v>
      </c>
      <c r="M22" s="256">
        <f>L22/K23</f>
        <v>1</v>
      </c>
      <c r="N22" s="255"/>
      <c r="S22" s="255"/>
      <c r="U22" s="254"/>
      <c r="V22" s="254"/>
      <c r="W22" s="254"/>
    </row>
    <row r="23" spans="1:23" x14ac:dyDescent="0.25">
      <c r="A23" s="255"/>
      <c r="B23" s="200">
        <v>16</v>
      </c>
      <c r="C23" s="196">
        <v>52</v>
      </c>
      <c r="D23" s="202">
        <v>54</v>
      </c>
      <c r="E23" s="196">
        <v>41</v>
      </c>
      <c r="F23" s="202">
        <v>49</v>
      </c>
      <c r="G23" s="196">
        <v>49</v>
      </c>
      <c r="H23" s="202">
        <v>45</v>
      </c>
      <c r="J23" s="309" t="s">
        <v>315</v>
      </c>
      <c r="K23" s="309">
        <f>SUM(K7:K22)</f>
        <v>30</v>
      </c>
      <c r="L23" s="558"/>
      <c r="M23" s="558"/>
      <c r="N23" s="255"/>
      <c r="O23" s="306" t="s">
        <v>313</v>
      </c>
      <c r="P23" s="259" t="s">
        <v>264</v>
      </c>
      <c r="Q23" s="306" t="s">
        <v>309</v>
      </c>
      <c r="R23" s="306" t="s">
        <v>314</v>
      </c>
      <c r="S23" s="255"/>
      <c r="T23" s="306" t="s">
        <v>313</v>
      </c>
      <c r="U23" s="259" t="s">
        <v>264</v>
      </c>
      <c r="V23" s="306" t="s">
        <v>309</v>
      </c>
      <c r="W23" s="306" t="s">
        <v>314</v>
      </c>
    </row>
    <row r="24" spans="1:23" x14ac:dyDescent="0.25">
      <c r="A24" s="255"/>
      <c r="B24" s="200">
        <v>17</v>
      </c>
      <c r="C24" s="196">
        <v>44</v>
      </c>
      <c r="D24" s="202">
        <v>56</v>
      </c>
      <c r="E24" s="196">
        <v>42</v>
      </c>
      <c r="F24" s="202">
        <v>49</v>
      </c>
      <c r="G24" s="196">
        <v>46</v>
      </c>
      <c r="H24" s="202">
        <v>47</v>
      </c>
      <c r="N24" s="255"/>
      <c r="O24" s="196" t="s">
        <v>348</v>
      </c>
      <c r="P24" s="308">
        <v>8</v>
      </c>
      <c r="Q24" s="309">
        <v>8</v>
      </c>
      <c r="R24" s="256">
        <f>Q24/P27</f>
        <v>0.26666666666666666</v>
      </c>
      <c r="S24" s="255"/>
      <c r="T24" s="196" t="s">
        <v>341</v>
      </c>
      <c r="U24" s="308">
        <v>6</v>
      </c>
      <c r="V24" s="309">
        <v>6</v>
      </c>
      <c r="W24" s="256">
        <f>V24/U28</f>
        <v>0.2</v>
      </c>
    </row>
    <row r="25" spans="1:23" x14ac:dyDescent="0.25">
      <c r="A25" s="255"/>
      <c r="B25" s="200">
        <v>18</v>
      </c>
      <c r="C25" s="196">
        <v>51</v>
      </c>
      <c r="D25" s="202">
        <v>49</v>
      </c>
      <c r="E25" s="196">
        <v>45</v>
      </c>
      <c r="F25" s="202">
        <v>50</v>
      </c>
      <c r="G25" s="196">
        <v>47</v>
      </c>
      <c r="H25" s="202">
        <v>39</v>
      </c>
      <c r="J25" s="306" t="s">
        <v>313</v>
      </c>
      <c r="K25" s="259" t="s">
        <v>264</v>
      </c>
      <c r="L25" s="306" t="s">
        <v>309</v>
      </c>
      <c r="M25" s="306" t="s">
        <v>314</v>
      </c>
      <c r="N25" s="255"/>
      <c r="O25" s="303" t="s">
        <v>349</v>
      </c>
      <c r="P25" s="302">
        <v>19</v>
      </c>
      <c r="Q25" s="303">
        <f>Q24+P25</f>
        <v>27</v>
      </c>
      <c r="R25" s="304">
        <f>Q25/P27</f>
        <v>0.9</v>
      </c>
      <c r="S25" s="255"/>
      <c r="T25" s="298" t="s">
        <v>342</v>
      </c>
      <c r="U25" s="299">
        <v>11</v>
      </c>
      <c r="V25" s="298">
        <f>V24+U25</f>
        <v>17</v>
      </c>
      <c r="W25" s="256">
        <f>V25/U28</f>
        <v>0.56666666666666665</v>
      </c>
    </row>
    <row r="26" spans="1:23" x14ac:dyDescent="0.25">
      <c r="A26" s="255"/>
      <c r="B26" s="200">
        <v>19</v>
      </c>
      <c r="C26" s="196">
        <v>50</v>
      </c>
      <c r="D26" s="202">
        <v>49</v>
      </c>
      <c r="E26" s="196">
        <v>46</v>
      </c>
      <c r="F26" s="202">
        <v>52</v>
      </c>
      <c r="G26" s="196">
        <v>45</v>
      </c>
      <c r="H26" s="202">
        <v>44</v>
      </c>
      <c r="J26" s="196" t="s">
        <v>296</v>
      </c>
      <c r="K26" s="308">
        <v>5</v>
      </c>
      <c r="L26" s="309">
        <v>5</v>
      </c>
      <c r="M26" s="256">
        <f>L26/K30</f>
        <v>0.16666666666666666</v>
      </c>
      <c r="N26" s="255"/>
      <c r="O26" s="311" t="s">
        <v>345</v>
      </c>
      <c r="P26" s="299">
        <v>3</v>
      </c>
      <c r="Q26" s="298">
        <f t="shared" ref="Q26" si="10">Q25+P26</f>
        <v>30</v>
      </c>
      <c r="R26" s="300">
        <f>Q26/P27</f>
        <v>1</v>
      </c>
      <c r="S26" s="255"/>
      <c r="T26" s="301" t="s">
        <v>343</v>
      </c>
      <c r="U26" s="302">
        <v>12</v>
      </c>
      <c r="V26" s="303">
        <f t="shared" ref="V26" si="11">V25+U26</f>
        <v>29</v>
      </c>
      <c r="W26" s="304">
        <f>V26/U28</f>
        <v>0.96666666666666667</v>
      </c>
    </row>
    <row r="27" spans="1:23" x14ac:dyDescent="0.25">
      <c r="A27" s="255"/>
      <c r="B27" s="200">
        <v>20</v>
      </c>
      <c r="C27" s="196">
        <v>47</v>
      </c>
      <c r="D27" s="202">
        <v>44</v>
      </c>
      <c r="E27" s="196">
        <v>48</v>
      </c>
      <c r="F27" s="202">
        <v>56</v>
      </c>
      <c r="G27" s="196">
        <v>46</v>
      </c>
      <c r="H27" s="202">
        <v>45</v>
      </c>
      <c r="J27" s="298" t="s">
        <v>337</v>
      </c>
      <c r="K27" s="299">
        <v>15</v>
      </c>
      <c r="L27" s="298">
        <f>L26+K27</f>
        <v>20</v>
      </c>
      <c r="M27" s="256">
        <f>L27/K30</f>
        <v>0.66666666666666663</v>
      </c>
      <c r="N27" s="255"/>
      <c r="O27" s="257" t="s">
        <v>315</v>
      </c>
      <c r="P27" s="308">
        <f>SUM(P24:P26)</f>
        <v>30</v>
      </c>
      <c r="Q27" s="307"/>
      <c r="R27" s="307"/>
      <c r="S27" s="255"/>
      <c r="T27" s="309" t="s">
        <v>344</v>
      </c>
      <c r="U27" s="309">
        <v>1</v>
      </c>
      <c r="V27" s="298">
        <f t="shared" ref="V27" si="12">V26+U27</f>
        <v>30</v>
      </c>
      <c r="W27" s="300">
        <f>V27/30</f>
        <v>1</v>
      </c>
    </row>
    <row r="28" spans="1:23" x14ac:dyDescent="0.25">
      <c r="A28" s="255"/>
      <c r="B28" s="200">
        <v>21</v>
      </c>
      <c r="C28" s="196">
        <v>50</v>
      </c>
      <c r="D28" s="202">
        <v>46</v>
      </c>
      <c r="E28" s="196">
        <v>50</v>
      </c>
      <c r="F28" s="202">
        <v>49</v>
      </c>
      <c r="G28" s="196">
        <v>47</v>
      </c>
      <c r="H28" s="202">
        <v>44</v>
      </c>
      <c r="J28" s="301" t="s">
        <v>338</v>
      </c>
      <c r="K28" s="302">
        <v>6</v>
      </c>
      <c r="L28" s="303">
        <f t="shared" ref="L28:L29" si="13">L27+K28</f>
        <v>26</v>
      </c>
      <c r="M28" s="304">
        <f>L28/K30</f>
        <v>0.8666666666666667</v>
      </c>
      <c r="N28" s="255"/>
      <c r="O28" s="257" t="s">
        <v>258</v>
      </c>
      <c r="P28" s="308"/>
      <c r="Q28" s="556" t="s">
        <v>353</v>
      </c>
      <c r="R28" s="557"/>
      <c r="S28" s="255"/>
      <c r="T28" s="257" t="s">
        <v>315</v>
      </c>
      <c r="U28" s="308">
        <f>SUM(U24:U27)</f>
        <v>30</v>
      </c>
      <c r="V28" s="307"/>
      <c r="W28" s="307"/>
    </row>
    <row r="29" spans="1:23" x14ac:dyDescent="0.25">
      <c r="A29" s="255"/>
      <c r="B29" s="200">
        <v>22</v>
      </c>
      <c r="C29" s="196">
        <v>49</v>
      </c>
      <c r="D29" s="202">
        <v>50</v>
      </c>
      <c r="E29" s="196">
        <v>51</v>
      </c>
      <c r="F29" s="202">
        <v>46</v>
      </c>
      <c r="G29" s="196">
        <v>49</v>
      </c>
      <c r="H29" s="202">
        <v>48</v>
      </c>
      <c r="J29" s="257" t="s">
        <v>346</v>
      </c>
      <c r="K29" s="308">
        <v>4</v>
      </c>
      <c r="L29" s="309">
        <f t="shared" si="13"/>
        <v>30</v>
      </c>
      <c r="M29" s="256">
        <f>L29/K30</f>
        <v>1</v>
      </c>
      <c r="N29" s="255"/>
      <c r="S29" s="255"/>
      <c r="T29" s="257" t="s">
        <v>258</v>
      </c>
      <c r="U29" s="308"/>
      <c r="V29" s="556" t="s">
        <v>354</v>
      </c>
      <c r="W29" s="557"/>
    </row>
    <row r="30" spans="1:23" x14ac:dyDescent="0.25">
      <c r="A30" s="255"/>
      <c r="B30" s="200">
        <v>23</v>
      </c>
      <c r="C30" s="196">
        <v>49</v>
      </c>
      <c r="D30" s="202">
        <v>55</v>
      </c>
      <c r="E30" s="196">
        <v>52</v>
      </c>
      <c r="F30" s="202">
        <v>58</v>
      </c>
      <c r="G30" s="196">
        <v>48</v>
      </c>
      <c r="H30" s="202">
        <v>40</v>
      </c>
      <c r="J30" s="257" t="s">
        <v>315</v>
      </c>
      <c r="K30" s="308">
        <f>SUM(K26:K29)</f>
        <v>30</v>
      </c>
      <c r="L30" s="307"/>
      <c r="M30" s="307"/>
      <c r="N30" s="255"/>
      <c r="S30" s="255"/>
    </row>
    <row r="31" spans="1:23" x14ac:dyDescent="0.25">
      <c r="A31" s="255"/>
      <c r="B31" s="200">
        <v>24</v>
      </c>
      <c r="C31" s="196">
        <v>48</v>
      </c>
      <c r="D31" s="202">
        <v>57</v>
      </c>
      <c r="E31" s="196">
        <v>48</v>
      </c>
      <c r="F31" s="202">
        <v>55</v>
      </c>
      <c r="G31" s="196">
        <v>49</v>
      </c>
      <c r="H31" s="202">
        <v>41</v>
      </c>
      <c r="J31" s="257" t="s">
        <v>258</v>
      </c>
      <c r="K31" s="308"/>
      <c r="L31" s="556" t="s">
        <v>352</v>
      </c>
      <c r="M31" s="557"/>
      <c r="N31" s="255"/>
      <c r="S31" s="255"/>
    </row>
    <row r="32" spans="1:23" x14ac:dyDescent="0.25">
      <c r="A32" s="255"/>
      <c r="B32" s="200">
        <v>25</v>
      </c>
      <c r="C32" s="196">
        <v>45</v>
      </c>
      <c r="D32" s="202">
        <v>56</v>
      </c>
      <c r="E32" s="196">
        <v>49</v>
      </c>
      <c r="F32" s="202">
        <v>56</v>
      </c>
      <c r="G32" s="196">
        <v>47</v>
      </c>
      <c r="H32" s="202">
        <v>48</v>
      </c>
      <c r="N32" s="255"/>
    </row>
    <row r="33" spans="1:25" x14ac:dyDescent="0.25">
      <c r="A33" s="255"/>
      <c r="B33" s="200">
        <v>26</v>
      </c>
      <c r="C33" s="196">
        <v>44</v>
      </c>
      <c r="D33" s="202">
        <v>53</v>
      </c>
      <c r="E33" s="196">
        <v>48</v>
      </c>
      <c r="F33" s="202">
        <v>54</v>
      </c>
      <c r="G33" s="196">
        <v>45</v>
      </c>
      <c r="H33" s="202">
        <v>35</v>
      </c>
      <c r="N33" s="255"/>
    </row>
    <row r="34" spans="1:25" x14ac:dyDescent="0.25">
      <c r="A34" s="255"/>
      <c r="B34" s="200">
        <v>27</v>
      </c>
      <c r="C34" s="196">
        <v>58</v>
      </c>
      <c r="D34" s="202">
        <v>50</v>
      </c>
      <c r="E34" s="196">
        <v>48</v>
      </c>
      <c r="F34" s="202">
        <v>50</v>
      </c>
      <c r="G34" s="196">
        <v>49</v>
      </c>
      <c r="H34" s="202">
        <v>47</v>
      </c>
      <c r="N34" s="255"/>
    </row>
    <row r="35" spans="1:25" x14ac:dyDescent="0.25">
      <c r="A35" s="255"/>
      <c r="B35" s="200">
        <v>28</v>
      </c>
      <c r="C35" s="196">
        <v>49</v>
      </c>
      <c r="D35" s="202">
        <v>60</v>
      </c>
      <c r="E35" s="196">
        <v>41</v>
      </c>
      <c r="F35" s="202">
        <v>46</v>
      </c>
      <c r="G35" s="196">
        <v>47</v>
      </c>
      <c r="H35" s="202">
        <v>44</v>
      </c>
    </row>
    <row r="36" spans="1:25" x14ac:dyDescent="0.25">
      <c r="A36" s="255"/>
      <c r="B36" s="200">
        <v>29</v>
      </c>
      <c r="C36" s="196">
        <v>59</v>
      </c>
      <c r="D36" s="202">
        <v>56</v>
      </c>
      <c r="E36" s="196">
        <v>50</v>
      </c>
      <c r="F36" s="202">
        <v>52</v>
      </c>
      <c r="G36" s="196">
        <v>42</v>
      </c>
      <c r="H36" s="202">
        <v>43</v>
      </c>
    </row>
    <row r="37" spans="1:25" x14ac:dyDescent="0.25">
      <c r="A37" s="255"/>
      <c r="B37" s="200">
        <v>30</v>
      </c>
      <c r="C37" s="196">
        <v>59</v>
      </c>
      <c r="D37" s="202">
        <v>51</v>
      </c>
      <c r="E37" s="196">
        <v>39</v>
      </c>
      <c r="F37" s="202">
        <v>57</v>
      </c>
      <c r="G37" s="196">
        <v>40</v>
      </c>
      <c r="H37" s="202">
        <v>42</v>
      </c>
    </row>
    <row r="38" spans="1:25" x14ac:dyDescent="0.25">
      <c r="B38" s="203" t="s">
        <v>251</v>
      </c>
      <c r="C38" s="203">
        <f t="shared" ref="C38:H38" si="14">MIN(C8:C37)</f>
        <v>40</v>
      </c>
      <c r="D38" s="203">
        <f>MIN(D8:D37)</f>
        <v>38</v>
      </c>
      <c r="E38" s="203">
        <f>MIN(E8:E37)</f>
        <v>39</v>
      </c>
      <c r="F38" s="203">
        <f t="shared" si="14"/>
        <v>35</v>
      </c>
      <c r="G38" s="203">
        <f t="shared" si="14"/>
        <v>35</v>
      </c>
      <c r="H38" s="203">
        <f t="shared" si="14"/>
        <v>35</v>
      </c>
    </row>
    <row r="39" spans="1:25" x14ac:dyDescent="0.25">
      <c r="B39" s="203" t="s">
        <v>252</v>
      </c>
      <c r="C39" s="203">
        <f t="shared" ref="C39:G39" si="15">MAX(C8:C37)</f>
        <v>59</v>
      </c>
      <c r="D39" s="203">
        <f>MAX(D8:D37)</f>
        <v>60</v>
      </c>
      <c r="E39" s="203">
        <f t="shared" si="15"/>
        <v>54</v>
      </c>
      <c r="F39" s="203">
        <f t="shared" si="15"/>
        <v>64</v>
      </c>
      <c r="G39" s="203">
        <f t="shared" si="15"/>
        <v>55</v>
      </c>
      <c r="H39" s="203">
        <f>MAX(H8:H37)</f>
        <v>48</v>
      </c>
    </row>
    <row r="40" spans="1:25" x14ac:dyDescent="0.25">
      <c r="B40" s="197"/>
      <c r="C40" s="197" t="s">
        <v>253</v>
      </c>
      <c r="D40" s="197"/>
      <c r="E40" s="197"/>
      <c r="F40" s="197"/>
      <c r="G40" s="197"/>
      <c r="H40" s="197"/>
    </row>
    <row r="41" spans="1:25" x14ac:dyDescent="0.25">
      <c r="B41" s="197"/>
      <c r="C41" s="197" t="s">
        <v>254</v>
      </c>
      <c r="D41" s="197"/>
      <c r="E41" s="197"/>
      <c r="F41" s="197"/>
      <c r="G41" s="197"/>
      <c r="H41" s="197">
        <v>48</v>
      </c>
    </row>
    <row r="42" spans="1:25" x14ac:dyDescent="0.25">
      <c r="H42">
        <v>35</v>
      </c>
    </row>
    <row r="43" spans="1:25" ht="15.75" thickBot="1" x14ac:dyDescent="0.3"/>
    <row r="44" spans="1:25" ht="15.75" thickBot="1" x14ac:dyDescent="0.3">
      <c r="C44" s="484" t="s">
        <v>405</v>
      </c>
      <c r="D44" s="485"/>
      <c r="E44" s="485"/>
      <c r="F44" s="486"/>
    </row>
    <row r="45" spans="1:25" ht="15.75" thickBot="1" x14ac:dyDescent="0.3">
      <c r="C45" s="333" t="s">
        <v>364</v>
      </c>
      <c r="D45" s="334" t="s">
        <v>406</v>
      </c>
      <c r="E45" s="334" t="s">
        <v>407</v>
      </c>
      <c r="F45" s="335" t="s">
        <v>408</v>
      </c>
    </row>
    <row r="46" spans="1:25" x14ac:dyDescent="0.25">
      <c r="C46" s="328" t="s">
        <v>249</v>
      </c>
      <c r="D46" s="329">
        <v>57</v>
      </c>
      <c r="E46" s="329">
        <v>58</v>
      </c>
      <c r="F46" s="545">
        <v>40</v>
      </c>
    </row>
    <row r="47" spans="1:25" x14ac:dyDescent="0.25">
      <c r="C47" s="213" t="s">
        <v>245</v>
      </c>
      <c r="D47" s="214">
        <v>50</v>
      </c>
      <c r="E47" s="214">
        <v>57</v>
      </c>
      <c r="F47" s="546"/>
      <c r="G47" s="262"/>
      <c r="T47" s="254"/>
    </row>
    <row r="48" spans="1:25" ht="15.75" thickBot="1" x14ac:dyDescent="0.3">
      <c r="C48" s="216" t="s">
        <v>246</v>
      </c>
      <c r="D48" s="217">
        <v>49</v>
      </c>
      <c r="E48" s="217">
        <v>47</v>
      </c>
      <c r="F48" s="547"/>
      <c r="G48" s="262"/>
      <c r="J48" s="515" t="s">
        <v>316</v>
      </c>
      <c r="K48" s="515"/>
      <c r="L48" s="515"/>
      <c r="M48" s="515"/>
      <c r="O48" s="515" t="s">
        <v>243</v>
      </c>
      <c r="P48" s="515"/>
      <c r="Q48" s="515"/>
      <c r="R48" s="515"/>
      <c r="T48" s="515" t="s">
        <v>243</v>
      </c>
      <c r="U48" s="515"/>
      <c r="V48" s="515"/>
      <c r="W48" s="515"/>
      <c r="Y48" s="254"/>
    </row>
    <row r="49" spans="4:25" x14ac:dyDescent="0.25">
      <c r="D49" s="262"/>
      <c r="G49" s="262"/>
      <c r="J49" s="306" t="s">
        <v>313</v>
      </c>
      <c r="K49" s="306" t="s">
        <v>264</v>
      </c>
      <c r="L49" s="306" t="s">
        <v>309</v>
      </c>
      <c r="M49" s="306" t="s">
        <v>314</v>
      </c>
      <c r="O49" s="306" t="s">
        <v>313</v>
      </c>
      <c r="P49" s="306" t="s">
        <v>264</v>
      </c>
      <c r="Q49" s="306" t="s">
        <v>309</v>
      </c>
      <c r="R49" s="306" t="s">
        <v>314</v>
      </c>
      <c r="T49" s="306" t="s">
        <v>313</v>
      </c>
      <c r="U49" s="306" t="s">
        <v>264</v>
      </c>
      <c r="V49" s="306" t="s">
        <v>309</v>
      </c>
      <c r="W49" s="306" t="s">
        <v>314</v>
      </c>
      <c r="Y49" s="262"/>
    </row>
    <row r="50" spans="4:25" x14ac:dyDescent="0.25">
      <c r="D50" s="262"/>
      <c r="G50" s="262"/>
      <c r="J50" s="266">
        <v>38</v>
      </c>
      <c r="K50" s="309">
        <v>1</v>
      </c>
      <c r="L50" s="309">
        <v>1</v>
      </c>
      <c r="M50" s="256">
        <f>L50/K67</f>
        <v>3.3333333333333333E-2</v>
      </c>
      <c r="O50" s="266">
        <v>35</v>
      </c>
      <c r="P50" s="309">
        <v>1</v>
      </c>
      <c r="Q50" s="309">
        <v>1</v>
      </c>
      <c r="R50" s="256">
        <f>Q50/30</f>
        <v>3.3333333333333333E-2</v>
      </c>
      <c r="T50" s="266">
        <v>35</v>
      </c>
      <c r="U50" s="309">
        <v>1</v>
      </c>
      <c r="V50" s="309">
        <v>1</v>
      </c>
      <c r="W50" s="256">
        <f>V50/30</f>
        <v>3.3333333333333333E-2</v>
      </c>
      <c r="Y50" s="262"/>
    </row>
    <row r="51" spans="4:25" x14ac:dyDescent="0.25">
      <c r="D51" s="262"/>
      <c r="G51" s="262"/>
      <c r="J51" s="266">
        <v>41</v>
      </c>
      <c r="K51" s="309">
        <v>1</v>
      </c>
      <c r="L51" s="309">
        <f>L50+K51</f>
        <v>2</v>
      </c>
      <c r="M51" s="256">
        <f>L51/K67</f>
        <v>6.6666666666666666E-2</v>
      </c>
      <c r="O51" s="266">
        <v>41</v>
      </c>
      <c r="P51" s="309">
        <v>1</v>
      </c>
      <c r="Q51" s="309">
        <f>Q50+P51</f>
        <v>2</v>
      </c>
      <c r="R51" s="256">
        <f t="shared" ref="R51:R61" si="16">Q51/30</f>
        <v>6.6666666666666666E-2</v>
      </c>
      <c r="T51" s="266">
        <v>39</v>
      </c>
      <c r="U51" s="309">
        <v>1</v>
      </c>
      <c r="V51" s="309">
        <f>V50+U51</f>
        <v>2</v>
      </c>
      <c r="W51" s="256">
        <f t="shared" ref="W51:W60" si="17">V51/30</f>
        <v>6.6666666666666666E-2</v>
      </c>
      <c r="Y51" s="262"/>
    </row>
    <row r="52" spans="4:25" ht="15" customHeight="1" x14ac:dyDescent="0.25">
      <c r="D52" s="262"/>
      <c r="G52" s="262"/>
      <c r="J52" s="266">
        <v>44</v>
      </c>
      <c r="K52" s="309">
        <v>1</v>
      </c>
      <c r="L52" s="309">
        <f t="shared" ref="L52:L66" si="18">L51+K52</f>
        <v>3</v>
      </c>
      <c r="M52" s="256">
        <f>L52/K67</f>
        <v>0.1</v>
      </c>
      <c r="O52" s="266">
        <v>45</v>
      </c>
      <c r="P52" s="309">
        <v>1</v>
      </c>
      <c r="Q52" s="309">
        <f t="shared" ref="Q52:Q64" si="19">Q51+P52</f>
        <v>3</v>
      </c>
      <c r="R52" s="256">
        <f t="shared" si="16"/>
        <v>0.1</v>
      </c>
      <c r="T52" s="266">
        <v>40</v>
      </c>
      <c r="U52" s="309">
        <v>3</v>
      </c>
      <c r="V52" s="309">
        <f t="shared" ref="V52:V60" si="20">V51+U52</f>
        <v>5</v>
      </c>
      <c r="W52" s="256">
        <f t="shared" si="17"/>
        <v>0.16666666666666666</v>
      </c>
      <c r="Y52" s="262"/>
    </row>
    <row r="53" spans="4:25" x14ac:dyDescent="0.25">
      <c r="D53" s="262"/>
      <c r="G53" s="262"/>
      <c r="J53" s="266">
        <v>46</v>
      </c>
      <c r="K53" s="309">
        <v>1</v>
      </c>
      <c r="L53" s="309">
        <f t="shared" si="18"/>
        <v>4</v>
      </c>
      <c r="M53" s="256">
        <f>L53/K67</f>
        <v>0.13333333333333333</v>
      </c>
      <c r="O53" s="266">
        <v>46</v>
      </c>
      <c r="P53" s="309">
        <v>2</v>
      </c>
      <c r="Q53" s="309">
        <f t="shared" si="19"/>
        <v>5</v>
      </c>
      <c r="R53" s="256">
        <f t="shared" si="16"/>
        <v>0.16666666666666666</v>
      </c>
      <c r="T53" s="266">
        <v>41</v>
      </c>
      <c r="U53" s="309">
        <v>1</v>
      </c>
      <c r="V53" s="309">
        <f t="shared" si="20"/>
        <v>6</v>
      </c>
      <c r="W53" s="256">
        <f t="shared" si="17"/>
        <v>0.2</v>
      </c>
      <c r="Y53" s="262"/>
    </row>
    <row r="54" spans="4:25" x14ac:dyDescent="0.25">
      <c r="D54" s="262"/>
      <c r="G54" s="262"/>
      <c r="J54" s="266">
        <v>47</v>
      </c>
      <c r="K54" s="309">
        <v>1</v>
      </c>
      <c r="L54" s="309">
        <f t="shared" si="18"/>
        <v>5</v>
      </c>
      <c r="M54" s="256">
        <f>L54/K67</f>
        <v>0.16666666666666666</v>
      </c>
      <c r="O54" s="266">
        <v>47</v>
      </c>
      <c r="P54" s="309">
        <v>1</v>
      </c>
      <c r="Q54" s="309">
        <f t="shared" si="19"/>
        <v>6</v>
      </c>
      <c r="R54" s="256">
        <f t="shared" si="16"/>
        <v>0.2</v>
      </c>
      <c r="T54" s="266">
        <v>42</v>
      </c>
      <c r="U54" s="309">
        <v>2</v>
      </c>
      <c r="V54" s="309">
        <f t="shared" si="20"/>
        <v>8</v>
      </c>
      <c r="W54" s="256">
        <f t="shared" si="17"/>
        <v>0.26666666666666666</v>
      </c>
      <c r="Y54" s="262"/>
    </row>
    <row r="55" spans="4:25" x14ac:dyDescent="0.25">
      <c r="D55" s="262"/>
      <c r="G55" s="262"/>
      <c r="J55" s="266">
        <v>48</v>
      </c>
      <c r="K55" s="309">
        <v>2</v>
      </c>
      <c r="L55" s="309">
        <f t="shared" si="18"/>
        <v>7</v>
      </c>
      <c r="M55" s="256">
        <f>L55/K67</f>
        <v>0.23333333333333334</v>
      </c>
      <c r="O55" s="266">
        <v>49</v>
      </c>
      <c r="P55" s="309">
        <v>3</v>
      </c>
      <c r="Q55" s="309">
        <f t="shared" si="19"/>
        <v>9</v>
      </c>
      <c r="R55" s="256">
        <f t="shared" si="16"/>
        <v>0.3</v>
      </c>
      <c r="T55" s="266">
        <v>43</v>
      </c>
      <c r="U55" s="309">
        <v>3</v>
      </c>
      <c r="V55" s="309">
        <f t="shared" si="20"/>
        <v>11</v>
      </c>
      <c r="W55" s="256">
        <f t="shared" si="17"/>
        <v>0.36666666666666664</v>
      </c>
      <c r="Y55" s="262"/>
    </row>
    <row r="56" spans="4:25" x14ac:dyDescent="0.25">
      <c r="D56" s="262"/>
      <c r="G56" s="262"/>
      <c r="J56" s="266">
        <v>49</v>
      </c>
      <c r="K56" s="309">
        <v>3</v>
      </c>
      <c r="L56" s="309">
        <f t="shared" si="18"/>
        <v>10</v>
      </c>
      <c r="M56" s="256">
        <f>L56/K67</f>
        <v>0.33333333333333331</v>
      </c>
      <c r="O56" s="266">
        <v>50</v>
      </c>
      <c r="P56" s="309">
        <v>6</v>
      </c>
      <c r="Q56" s="309">
        <f t="shared" si="19"/>
        <v>15</v>
      </c>
      <c r="R56" s="256">
        <f t="shared" si="16"/>
        <v>0.5</v>
      </c>
      <c r="T56" s="266">
        <v>44</v>
      </c>
      <c r="U56" s="309">
        <v>6</v>
      </c>
      <c r="V56" s="309">
        <f t="shared" si="20"/>
        <v>17</v>
      </c>
      <c r="W56" s="256">
        <f t="shared" si="17"/>
        <v>0.56666666666666665</v>
      </c>
      <c r="Y56" s="262"/>
    </row>
    <row r="57" spans="4:25" x14ac:dyDescent="0.25">
      <c r="D57" s="262"/>
      <c r="G57" s="262"/>
      <c r="J57" s="266">
        <v>50</v>
      </c>
      <c r="K57" s="309">
        <v>2</v>
      </c>
      <c r="L57" s="309">
        <f t="shared" si="18"/>
        <v>12</v>
      </c>
      <c r="M57" s="256">
        <f>L57/K67</f>
        <v>0.4</v>
      </c>
      <c r="O57" s="266">
        <v>52</v>
      </c>
      <c r="P57" s="309">
        <v>3</v>
      </c>
      <c r="Q57" s="309">
        <f t="shared" si="19"/>
        <v>18</v>
      </c>
      <c r="R57" s="256">
        <f t="shared" si="16"/>
        <v>0.6</v>
      </c>
      <c r="T57" s="266">
        <v>45</v>
      </c>
      <c r="U57" s="309">
        <v>7</v>
      </c>
      <c r="V57" s="309">
        <f t="shared" si="20"/>
        <v>24</v>
      </c>
      <c r="W57" s="256">
        <f t="shared" si="17"/>
        <v>0.8</v>
      </c>
      <c r="Y57" s="262"/>
    </row>
    <row r="58" spans="4:25" x14ac:dyDescent="0.25">
      <c r="D58" s="262"/>
      <c r="G58" s="262"/>
      <c r="J58" s="266">
        <v>51</v>
      </c>
      <c r="K58" s="309">
        <v>2</v>
      </c>
      <c r="L58" s="309">
        <f t="shared" si="18"/>
        <v>14</v>
      </c>
      <c r="M58" s="256">
        <f>L58/K67</f>
        <v>0.46666666666666667</v>
      </c>
      <c r="O58" s="266">
        <v>54</v>
      </c>
      <c r="P58" s="309">
        <v>3</v>
      </c>
      <c r="Q58" s="309">
        <f t="shared" si="19"/>
        <v>21</v>
      </c>
      <c r="R58" s="256">
        <f t="shared" si="16"/>
        <v>0.7</v>
      </c>
      <c r="T58" s="266">
        <v>46</v>
      </c>
      <c r="U58" s="309">
        <v>1</v>
      </c>
      <c r="V58" s="309">
        <f t="shared" si="20"/>
        <v>25</v>
      </c>
      <c r="W58" s="256">
        <f t="shared" si="17"/>
        <v>0.83333333333333337</v>
      </c>
      <c r="Y58" s="262"/>
    </row>
    <row r="59" spans="4:25" x14ac:dyDescent="0.25">
      <c r="D59" s="262"/>
      <c r="G59" s="262"/>
      <c r="J59" s="266">
        <v>53</v>
      </c>
      <c r="K59" s="309">
        <v>1</v>
      </c>
      <c r="L59" s="309">
        <f t="shared" si="18"/>
        <v>15</v>
      </c>
      <c r="M59" s="256">
        <f>L59/K67</f>
        <v>0.5</v>
      </c>
      <c r="O59" s="266">
        <v>55</v>
      </c>
      <c r="P59" s="309">
        <v>1</v>
      </c>
      <c r="Q59" s="309">
        <f t="shared" si="19"/>
        <v>22</v>
      </c>
      <c r="R59" s="256">
        <f t="shared" si="16"/>
        <v>0.73333333333333328</v>
      </c>
      <c r="T59" s="266">
        <v>47</v>
      </c>
      <c r="U59" s="309">
        <v>3</v>
      </c>
      <c r="V59" s="309">
        <f t="shared" si="20"/>
        <v>28</v>
      </c>
      <c r="W59" s="256">
        <f t="shared" si="17"/>
        <v>0.93333333333333335</v>
      </c>
      <c r="Y59" s="262"/>
    </row>
    <row r="60" spans="4:25" x14ac:dyDescent="0.25">
      <c r="D60" s="262"/>
      <c r="G60" s="262"/>
      <c r="J60" s="266">
        <v>54</v>
      </c>
      <c r="K60" s="309">
        <v>1</v>
      </c>
      <c r="L60" s="309">
        <f t="shared" si="18"/>
        <v>16</v>
      </c>
      <c r="M60" s="256">
        <f>L60/K67</f>
        <v>0.53333333333333333</v>
      </c>
      <c r="O60" s="266">
        <v>56</v>
      </c>
      <c r="P60" s="309">
        <v>2</v>
      </c>
      <c r="Q60" s="309">
        <f t="shared" si="19"/>
        <v>24</v>
      </c>
      <c r="R60" s="256">
        <f t="shared" si="16"/>
        <v>0.8</v>
      </c>
      <c r="T60" s="266">
        <v>48</v>
      </c>
      <c r="U60" s="309">
        <v>2</v>
      </c>
      <c r="V60" s="309">
        <f t="shared" si="20"/>
        <v>30</v>
      </c>
      <c r="W60" s="256">
        <f t="shared" si="17"/>
        <v>1</v>
      </c>
      <c r="Y60" s="262"/>
    </row>
    <row r="61" spans="4:25" x14ac:dyDescent="0.25">
      <c r="D61" s="262"/>
      <c r="G61" s="262"/>
      <c r="J61" s="266">
        <v>55</v>
      </c>
      <c r="K61" s="309">
        <v>2</v>
      </c>
      <c r="L61" s="309">
        <f t="shared" si="18"/>
        <v>18</v>
      </c>
      <c r="M61" s="256">
        <f>L61/K67</f>
        <v>0.6</v>
      </c>
      <c r="O61" s="266">
        <v>57</v>
      </c>
      <c r="P61" s="309">
        <v>3</v>
      </c>
      <c r="Q61" s="309">
        <f t="shared" si="19"/>
        <v>27</v>
      </c>
      <c r="R61" s="256">
        <f t="shared" si="16"/>
        <v>0.9</v>
      </c>
      <c r="T61" s="309" t="s">
        <v>315</v>
      </c>
      <c r="U61" s="309">
        <f>SUM(U50:U60)</f>
        <v>30</v>
      </c>
      <c r="V61" s="558">
        <f>PERCENTILE(T50:T60,0.85)</f>
        <v>46.5</v>
      </c>
      <c r="W61" s="558"/>
      <c r="Y61" s="262"/>
    </row>
    <row r="62" spans="4:25" x14ac:dyDescent="0.25">
      <c r="D62" s="262"/>
      <c r="G62" s="262"/>
      <c r="J62" s="266">
        <v>56</v>
      </c>
      <c r="K62" s="309">
        <v>4</v>
      </c>
      <c r="L62" s="309">
        <f t="shared" si="18"/>
        <v>22</v>
      </c>
      <c r="M62" s="256">
        <f>L62/K67</f>
        <v>0.73333333333333328</v>
      </c>
      <c r="O62" s="266">
        <v>58</v>
      </c>
      <c r="P62" s="309">
        <v>1</v>
      </c>
      <c r="Q62" s="309">
        <f t="shared" si="19"/>
        <v>28</v>
      </c>
      <c r="R62" s="256">
        <f>Q62/30</f>
        <v>0.93333333333333335</v>
      </c>
      <c r="Y62" s="262"/>
    </row>
    <row r="63" spans="4:25" x14ac:dyDescent="0.25">
      <c r="D63" s="262"/>
      <c r="G63" s="262"/>
      <c r="J63" s="266">
        <v>57</v>
      </c>
      <c r="K63" s="309">
        <v>2</v>
      </c>
      <c r="L63" s="309">
        <f t="shared" si="18"/>
        <v>24</v>
      </c>
      <c r="M63" s="256">
        <f>L63/K67</f>
        <v>0.8</v>
      </c>
      <c r="O63" s="266">
        <v>61</v>
      </c>
      <c r="P63" s="309">
        <v>1</v>
      </c>
      <c r="Q63" s="309">
        <f t="shared" si="19"/>
        <v>29</v>
      </c>
      <c r="R63" s="256">
        <f t="shared" ref="R63:R64" si="21">Q63/30</f>
        <v>0.96666666666666667</v>
      </c>
      <c r="T63" s="306" t="s">
        <v>313</v>
      </c>
      <c r="U63" s="259" t="s">
        <v>264</v>
      </c>
      <c r="V63" s="306" t="s">
        <v>309</v>
      </c>
      <c r="W63" s="306" t="s">
        <v>314</v>
      </c>
      <c r="Y63" s="262"/>
    </row>
    <row r="64" spans="4:25" x14ac:dyDescent="0.25">
      <c r="D64" s="262"/>
      <c r="G64" s="262"/>
      <c r="J64" s="266">
        <v>58</v>
      </c>
      <c r="K64" s="257">
        <v>2</v>
      </c>
      <c r="L64" s="309">
        <f t="shared" si="18"/>
        <v>26</v>
      </c>
      <c r="M64" s="256">
        <f>L64/K67</f>
        <v>0.8666666666666667</v>
      </c>
      <c r="O64" s="312">
        <v>64</v>
      </c>
      <c r="P64" s="313">
        <v>1</v>
      </c>
      <c r="Q64" s="309">
        <f t="shared" si="19"/>
        <v>30</v>
      </c>
      <c r="R64" s="256">
        <f t="shared" si="21"/>
        <v>1</v>
      </c>
      <c r="T64" s="196" t="s">
        <v>341</v>
      </c>
      <c r="U64" s="308">
        <v>1</v>
      </c>
      <c r="V64" s="309">
        <v>1</v>
      </c>
      <c r="W64" s="256">
        <f>V64/U67</f>
        <v>5.5555555555555552E-2</v>
      </c>
      <c r="Y64" s="262"/>
    </row>
    <row r="65" spans="4:25" x14ac:dyDescent="0.25">
      <c r="D65" s="262"/>
      <c r="G65" s="262"/>
      <c r="J65" s="266">
        <v>59</v>
      </c>
      <c r="K65" s="309">
        <v>2</v>
      </c>
      <c r="L65" s="309">
        <f t="shared" si="18"/>
        <v>28</v>
      </c>
      <c r="M65" s="256">
        <f>L65/K67</f>
        <v>0.93333333333333335</v>
      </c>
      <c r="O65" s="309" t="s">
        <v>315</v>
      </c>
      <c r="P65" s="309">
        <f>SUM(P50:P64)</f>
        <v>30</v>
      </c>
      <c r="Q65" s="558"/>
      <c r="R65" s="558"/>
      <c r="T65" s="298" t="s">
        <v>342</v>
      </c>
      <c r="U65" s="299">
        <v>4</v>
      </c>
      <c r="V65" s="298">
        <f>V64+U65</f>
        <v>5</v>
      </c>
      <c r="W65" s="256">
        <f>V65/U67</f>
        <v>0.27777777777777779</v>
      </c>
      <c r="Y65" s="262"/>
    </row>
    <row r="66" spans="4:25" x14ac:dyDescent="0.25">
      <c r="D66" s="262"/>
      <c r="G66" s="262"/>
      <c r="J66" s="312">
        <v>60</v>
      </c>
      <c r="K66" s="313">
        <v>2</v>
      </c>
      <c r="L66" s="309">
        <f t="shared" si="18"/>
        <v>30</v>
      </c>
      <c r="M66" s="256">
        <f>L66/K67</f>
        <v>1</v>
      </c>
      <c r="T66" s="303" t="s">
        <v>343</v>
      </c>
      <c r="U66" s="302">
        <v>13</v>
      </c>
      <c r="V66" s="303">
        <f t="shared" ref="V66" si="22">V65+U66</f>
        <v>18</v>
      </c>
      <c r="W66" s="304">
        <f>V66/U67</f>
        <v>1</v>
      </c>
      <c r="Y66" s="262"/>
    </row>
    <row r="67" spans="4:25" x14ac:dyDescent="0.25">
      <c r="D67" s="262"/>
      <c r="G67" s="262"/>
      <c r="J67" s="309" t="s">
        <v>315</v>
      </c>
      <c r="K67" s="309">
        <f>SUM(K50:K66)</f>
        <v>30</v>
      </c>
      <c r="L67" s="558"/>
      <c r="M67" s="558"/>
      <c r="O67" s="306" t="s">
        <v>313</v>
      </c>
      <c r="P67" s="259" t="s">
        <v>264</v>
      </c>
      <c r="Q67" s="306" t="s">
        <v>309</v>
      </c>
      <c r="R67" s="306" t="s">
        <v>314</v>
      </c>
      <c r="T67" s="257" t="s">
        <v>315</v>
      </c>
      <c r="U67" s="308">
        <f>SUM(U64:U66)</f>
        <v>18</v>
      </c>
      <c r="V67" s="307"/>
      <c r="W67" s="307"/>
      <c r="Y67" s="262"/>
    </row>
    <row r="68" spans="4:25" x14ac:dyDescent="0.25">
      <c r="D68" s="262"/>
      <c r="G68" s="262"/>
      <c r="O68" s="196" t="s">
        <v>341</v>
      </c>
      <c r="P68" s="308">
        <v>1</v>
      </c>
      <c r="Q68" s="309">
        <v>1</v>
      </c>
      <c r="R68" s="256">
        <f>Q68/P73</f>
        <v>3.3333333333333333E-2</v>
      </c>
      <c r="T68" s="257" t="s">
        <v>258</v>
      </c>
      <c r="U68" s="308"/>
      <c r="V68" s="556" t="s">
        <v>362</v>
      </c>
      <c r="W68" s="557"/>
      <c r="Y68" s="262"/>
    </row>
    <row r="69" spans="4:25" x14ac:dyDescent="0.25">
      <c r="D69" s="262"/>
      <c r="G69" s="262"/>
      <c r="J69" s="306" t="s">
        <v>313</v>
      </c>
      <c r="K69" s="259" t="s">
        <v>264</v>
      </c>
      <c r="L69" s="306" t="s">
        <v>309</v>
      </c>
      <c r="M69" s="306" t="s">
        <v>314</v>
      </c>
      <c r="O69" s="298" t="s">
        <v>342</v>
      </c>
      <c r="P69" s="299">
        <v>4</v>
      </c>
      <c r="Q69" s="298">
        <f>Q68+P69</f>
        <v>5</v>
      </c>
      <c r="R69" s="256">
        <f>Q69/P73</f>
        <v>0.16666666666666666</v>
      </c>
      <c r="Y69" s="262"/>
    </row>
    <row r="70" spans="4:25" x14ac:dyDescent="0.25">
      <c r="D70" s="262"/>
      <c r="G70" s="262"/>
      <c r="J70" s="196" t="s">
        <v>355</v>
      </c>
      <c r="K70" s="308">
        <v>2</v>
      </c>
      <c r="L70" s="309">
        <v>2</v>
      </c>
      <c r="M70" s="256">
        <f>L70/K74</f>
        <v>6.6666666666666666E-2</v>
      </c>
      <c r="O70" s="298" t="s">
        <v>343</v>
      </c>
      <c r="P70" s="299">
        <v>13</v>
      </c>
      <c r="Q70" s="298">
        <f t="shared" ref="Q70:Q72" si="23">Q69+P70</f>
        <v>18</v>
      </c>
      <c r="R70" s="300">
        <f>Q70/P73</f>
        <v>0.6</v>
      </c>
      <c r="Y70" s="262"/>
    </row>
    <row r="71" spans="4:25" x14ac:dyDescent="0.25">
      <c r="D71" s="262"/>
      <c r="G71" s="262"/>
      <c r="J71" s="298" t="s">
        <v>356</v>
      </c>
      <c r="K71" s="299">
        <v>8</v>
      </c>
      <c r="L71" s="298">
        <f>L70+K71</f>
        <v>10</v>
      </c>
      <c r="M71" s="256">
        <f>L71/K74</f>
        <v>0.33333333333333331</v>
      </c>
      <c r="O71" s="301" t="s">
        <v>344</v>
      </c>
      <c r="P71" s="302">
        <v>10</v>
      </c>
      <c r="Q71" s="303">
        <f t="shared" si="23"/>
        <v>28</v>
      </c>
      <c r="R71" s="304">
        <f>Q71/P73</f>
        <v>0.93333333333333335</v>
      </c>
      <c r="Y71" s="262"/>
    </row>
    <row r="72" spans="4:25" x14ac:dyDescent="0.25">
      <c r="D72" s="262"/>
      <c r="G72" s="262"/>
      <c r="J72" s="311" t="s">
        <v>357</v>
      </c>
      <c r="K72" s="299">
        <v>8</v>
      </c>
      <c r="L72" s="298">
        <f t="shared" ref="L72:L73" si="24">L71+K72</f>
        <v>18</v>
      </c>
      <c r="M72" s="300">
        <f>L72/K74</f>
        <v>0.6</v>
      </c>
      <c r="O72" s="257" t="s">
        <v>360</v>
      </c>
      <c r="P72" s="214">
        <v>2</v>
      </c>
      <c r="Q72" s="309">
        <f t="shared" si="23"/>
        <v>30</v>
      </c>
      <c r="R72" s="256">
        <f>Q72/P73</f>
        <v>1</v>
      </c>
      <c r="Y72" s="262"/>
    </row>
    <row r="73" spans="4:25" x14ac:dyDescent="0.25">
      <c r="D73" s="262"/>
      <c r="G73" s="262"/>
      <c r="J73" s="301" t="s">
        <v>358</v>
      </c>
      <c r="K73" s="302">
        <v>12</v>
      </c>
      <c r="L73" s="303">
        <f t="shared" si="24"/>
        <v>30</v>
      </c>
      <c r="M73" s="304">
        <f>L73/K74</f>
        <v>1</v>
      </c>
      <c r="O73" s="257" t="s">
        <v>315</v>
      </c>
      <c r="P73" s="308">
        <f>SUM(P68:P72)</f>
        <v>30</v>
      </c>
      <c r="Q73" s="307"/>
      <c r="R73" s="307"/>
      <c r="Y73" s="262"/>
    </row>
    <row r="74" spans="4:25" x14ac:dyDescent="0.25">
      <c r="D74" s="254"/>
      <c r="G74" s="262"/>
      <c r="J74" s="257" t="s">
        <v>315</v>
      </c>
      <c r="K74" s="308">
        <f>SUM(K70:K73)</f>
        <v>30</v>
      </c>
      <c r="L74" s="307"/>
      <c r="M74" s="307"/>
      <c r="O74" s="257" t="s">
        <v>258</v>
      </c>
      <c r="P74" s="308"/>
      <c r="Q74" s="556" t="s">
        <v>361</v>
      </c>
      <c r="R74" s="557"/>
      <c r="Y74" s="262"/>
    </row>
    <row r="75" spans="4:25" x14ac:dyDescent="0.25">
      <c r="G75" s="262"/>
      <c r="J75" s="257" t="s">
        <v>258</v>
      </c>
      <c r="K75" s="308"/>
      <c r="L75" s="556" t="s">
        <v>359</v>
      </c>
      <c r="M75" s="557"/>
      <c r="Y75" s="262"/>
    </row>
    <row r="76" spans="4:25" x14ac:dyDescent="0.25">
      <c r="G76" s="262"/>
      <c r="Y76" s="262"/>
    </row>
    <row r="77" spans="4:25" x14ac:dyDescent="0.25">
      <c r="Y77" s="262"/>
    </row>
    <row r="78" spans="4:25" x14ac:dyDescent="0.25">
      <c r="Y78" s="262"/>
    </row>
    <row r="79" spans="4:25" x14ac:dyDescent="0.25">
      <c r="Y79" s="254"/>
    </row>
    <row r="80" spans="4:25" x14ac:dyDescent="0.25">
      <c r="Y80" s="254"/>
    </row>
  </sheetData>
  <sortState ref="Y50:Y78">
    <sortCondition ref="Y49"/>
  </sortState>
  <mergeCells count="42">
    <mergeCell ref="AJ9:AJ11"/>
    <mergeCell ref="AI7:AI8"/>
    <mergeCell ref="AJ5:AJ8"/>
    <mergeCell ref="Z5:AI5"/>
    <mergeCell ref="Z6:AD6"/>
    <mergeCell ref="AE6:AI6"/>
    <mergeCell ref="AH7:AH8"/>
    <mergeCell ref="AE7:AE8"/>
    <mergeCell ref="AF7:AF8"/>
    <mergeCell ref="AG7:AG8"/>
    <mergeCell ref="AD7:AD8"/>
    <mergeCell ref="Y5:Y8"/>
    <mergeCell ref="Z7:Z8"/>
    <mergeCell ref="AA7:AA8"/>
    <mergeCell ref="AB7:AB8"/>
    <mergeCell ref="AC7:AC8"/>
    <mergeCell ref="L75:M75"/>
    <mergeCell ref="O48:R48"/>
    <mergeCell ref="Q65:R65"/>
    <mergeCell ref="Q74:R74"/>
    <mergeCell ref="T48:W48"/>
    <mergeCell ref="V61:W61"/>
    <mergeCell ref="V68:W68"/>
    <mergeCell ref="L31:M31"/>
    <mergeCell ref="Q28:R28"/>
    <mergeCell ref="V29:W29"/>
    <mergeCell ref="J48:M48"/>
    <mergeCell ref="L67:M67"/>
    <mergeCell ref="J5:M5"/>
    <mergeCell ref="L23:M23"/>
    <mergeCell ref="O5:R5"/>
    <mergeCell ref="Q21:R21"/>
    <mergeCell ref="T5:W5"/>
    <mergeCell ref="V21:W21"/>
    <mergeCell ref="C44:F44"/>
    <mergeCell ref="F46:F48"/>
    <mergeCell ref="B2:H2"/>
    <mergeCell ref="B4:H4"/>
    <mergeCell ref="B5:B7"/>
    <mergeCell ref="C5:D5"/>
    <mergeCell ref="E5:F5"/>
    <mergeCell ref="G5:H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0"/>
  <sheetViews>
    <sheetView workbookViewId="0">
      <selection activeCell="B11" sqref="B11:H15"/>
    </sheetView>
  </sheetViews>
  <sheetFormatPr defaultRowHeight="15" x14ac:dyDescent="0.25"/>
  <cols>
    <col min="2" max="2" width="4.140625" customWidth="1"/>
    <col min="3" max="3" width="12.140625" customWidth="1"/>
    <col min="4" max="4" width="12.28515625" customWidth="1"/>
    <col min="5" max="5" width="7.85546875" customWidth="1"/>
    <col min="6" max="6" width="6.42578125" customWidth="1"/>
    <col min="7" max="7" width="14.28515625" customWidth="1"/>
    <col min="8" max="8" width="12.7109375" customWidth="1"/>
    <col min="11" max="12" width="13.28515625" customWidth="1"/>
    <col min="13" max="13" width="13.7109375" customWidth="1"/>
  </cols>
  <sheetData>
    <row r="1" spans="2:17" ht="15.75" thickBot="1" x14ac:dyDescent="0.3"/>
    <row r="2" spans="2:17" ht="27.75" customHeight="1" thickBot="1" x14ac:dyDescent="0.4">
      <c r="B2" s="242" t="s">
        <v>308</v>
      </c>
      <c r="M2" s="243" t="s">
        <v>292</v>
      </c>
      <c r="N2" s="244" t="s">
        <v>293</v>
      </c>
      <c r="O2" s="244" t="s">
        <v>294</v>
      </c>
      <c r="Q2" s="372"/>
    </row>
    <row r="3" spans="2:17" ht="15.75" thickBot="1" x14ac:dyDescent="0.3">
      <c r="B3" s="572" t="s">
        <v>291</v>
      </c>
      <c r="C3" s="573"/>
      <c r="D3" s="573"/>
      <c r="E3" s="573"/>
      <c r="F3" s="573"/>
      <c r="G3" s="573"/>
      <c r="H3" s="574"/>
      <c r="M3" s="245">
        <v>30</v>
      </c>
      <c r="N3" s="246">
        <v>0.4</v>
      </c>
      <c r="O3" s="246" t="s">
        <v>295</v>
      </c>
    </row>
    <row r="4" spans="2:17" ht="15" customHeight="1" thickBot="1" x14ac:dyDescent="0.3">
      <c r="B4" s="575" t="s">
        <v>186</v>
      </c>
      <c r="C4" s="577" t="s">
        <v>247</v>
      </c>
      <c r="D4" s="583" t="s">
        <v>415</v>
      </c>
      <c r="E4" s="581" t="s">
        <v>289</v>
      </c>
      <c r="F4" s="583" t="s">
        <v>294</v>
      </c>
      <c r="G4" s="579" t="s">
        <v>416</v>
      </c>
      <c r="H4" s="585" t="s">
        <v>441</v>
      </c>
      <c r="M4" s="245">
        <v>40</v>
      </c>
      <c r="N4" s="246">
        <v>0.375</v>
      </c>
      <c r="O4" s="246" t="s">
        <v>296</v>
      </c>
      <c r="Q4" s="372"/>
    </row>
    <row r="5" spans="2:17" ht="15.75" thickBot="1" x14ac:dyDescent="0.3">
      <c r="B5" s="576"/>
      <c r="C5" s="578"/>
      <c r="D5" s="584"/>
      <c r="E5" s="582"/>
      <c r="F5" s="584"/>
      <c r="G5" s="580"/>
      <c r="H5" s="586"/>
      <c r="M5" s="245">
        <v>50</v>
      </c>
      <c r="N5" s="246">
        <v>0.35</v>
      </c>
      <c r="O5" s="246" t="s">
        <v>297</v>
      </c>
      <c r="Q5" s="372"/>
    </row>
    <row r="6" spans="2:17" ht="15.75" thickBot="1" x14ac:dyDescent="0.3">
      <c r="B6" s="248">
        <v>1</v>
      </c>
      <c r="C6" s="249" t="s">
        <v>290</v>
      </c>
      <c r="D6" s="566">
        <v>40</v>
      </c>
      <c r="E6" s="190">
        <v>0.375</v>
      </c>
      <c r="F6" s="569">
        <v>40</v>
      </c>
      <c r="G6" s="220">
        <v>58</v>
      </c>
      <c r="H6" s="275">
        <v>75.62</v>
      </c>
      <c r="I6">
        <f>(0.278*58*2.5)</f>
        <v>40.31</v>
      </c>
      <c r="J6">
        <f>(58^2)/(254*0.375)</f>
        <v>35.317585301837269</v>
      </c>
      <c r="K6">
        <f>I6+J6</f>
        <v>75.627585301837271</v>
      </c>
      <c r="M6" s="245">
        <v>60</v>
      </c>
      <c r="N6" s="246">
        <v>0.33</v>
      </c>
      <c r="O6" s="246" t="s">
        <v>298</v>
      </c>
    </row>
    <row r="7" spans="2:17" ht="15.75" thickBot="1" x14ac:dyDescent="0.3">
      <c r="B7" s="191">
        <v>2</v>
      </c>
      <c r="C7" s="223" t="s">
        <v>245</v>
      </c>
      <c r="D7" s="567"/>
      <c r="E7" s="331">
        <v>0.375</v>
      </c>
      <c r="F7" s="570"/>
      <c r="G7" s="214">
        <v>55</v>
      </c>
      <c r="H7" s="276">
        <v>69.98</v>
      </c>
      <c r="I7">
        <f>(0.278*55*2.5)</f>
        <v>38.225000000000001</v>
      </c>
      <c r="J7">
        <f>(55^2)/(254*0.375)</f>
        <v>31.758530183727036</v>
      </c>
      <c r="K7">
        <f>I7+J7</f>
        <v>69.983530183727041</v>
      </c>
      <c r="M7" s="245">
        <v>70</v>
      </c>
      <c r="N7" s="246">
        <v>0.313</v>
      </c>
      <c r="O7" s="246" t="s">
        <v>299</v>
      </c>
      <c r="Q7" s="373"/>
    </row>
    <row r="8" spans="2:17" ht="15.75" thickBot="1" x14ac:dyDescent="0.3">
      <c r="B8" s="193">
        <v>3</v>
      </c>
      <c r="C8" s="224" t="s">
        <v>246</v>
      </c>
      <c r="D8" s="568"/>
      <c r="E8" s="194">
        <v>0.375</v>
      </c>
      <c r="F8" s="571"/>
      <c r="G8" s="217">
        <v>49</v>
      </c>
      <c r="H8" s="277">
        <v>59.26</v>
      </c>
      <c r="I8">
        <f>(0.278*49*2.5)</f>
        <v>34.055000000000007</v>
      </c>
      <c r="J8">
        <f>(49^2)/(254*0.375)</f>
        <v>25.207349081364828</v>
      </c>
      <c r="K8">
        <f>I8+J8</f>
        <v>59.262349081364832</v>
      </c>
      <c r="M8" s="245">
        <v>80</v>
      </c>
      <c r="N8" s="246">
        <v>0.3</v>
      </c>
      <c r="O8" s="246" t="s">
        <v>300</v>
      </c>
      <c r="Q8" s="373"/>
    </row>
    <row r="9" spans="2:17" ht="15.75" thickBot="1" x14ac:dyDescent="0.3">
      <c r="M9" s="245">
        <v>100</v>
      </c>
      <c r="N9" s="246">
        <v>0.28499999999999998</v>
      </c>
      <c r="O9" s="246" t="s">
        <v>301</v>
      </c>
      <c r="Q9" s="373"/>
    </row>
    <row r="10" spans="2:17" ht="15.75" thickBot="1" x14ac:dyDescent="0.3">
      <c r="B10" s="572" t="s">
        <v>417</v>
      </c>
      <c r="C10" s="573"/>
      <c r="D10" s="573"/>
      <c r="E10" s="573"/>
      <c r="F10" s="573"/>
      <c r="G10" s="573"/>
      <c r="H10" s="574"/>
      <c r="M10" s="245">
        <v>120</v>
      </c>
      <c r="N10" s="246">
        <v>0.28000000000000003</v>
      </c>
      <c r="O10" s="246" t="s">
        <v>302</v>
      </c>
    </row>
    <row r="11" spans="2:17" x14ac:dyDescent="0.25">
      <c r="B11" s="575" t="s">
        <v>186</v>
      </c>
      <c r="C11" s="577" t="s">
        <v>247</v>
      </c>
      <c r="D11" s="583" t="s">
        <v>415</v>
      </c>
      <c r="E11" s="581" t="s">
        <v>289</v>
      </c>
      <c r="F11" s="583" t="s">
        <v>294</v>
      </c>
      <c r="G11" s="579" t="s">
        <v>416</v>
      </c>
      <c r="H11" s="585" t="s">
        <v>441</v>
      </c>
      <c r="M11" s="247" t="s">
        <v>303</v>
      </c>
    </row>
    <row r="12" spans="2:17" ht="15.75" thickBot="1" x14ac:dyDescent="0.3">
      <c r="B12" s="576"/>
      <c r="C12" s="578"/>
      <c r="D12" s="584"/>
      <c r="E12" s="582"/>
      <c r="F12" s="584"/>
      <c r="G12" s="580"/>
      <c r="H12" s="586"/>
    </row>
    <row r="13" spans="2:17" x14ac:dyDescent="0.25">
      <c r="B13" s="248">
        <v>1</v>
      </c>
      <c r="C13" s="249" t="s">
        <v>290</v>
      </c>
      <c r="D13" s="566">
        <v>40</v>
      </c>
      <c r="E13" s="190">
        <v>0.375</v>
      </c>
      <c r="F13" s="569">
        <v>40</v>
      </c>
      <c r="G13" s="220">
        <v>60</v>
      </c>
      <c r="H13" s="275">
        <v>79.489999999999995</v>
      </c>
      <c r="I13" s="274">
        <f>(0.278*60*2.5)</f>
        <v>41.7</v>
      </c>
      <c r="J13" s="274">
        <f>(60^2)/(254*0.375)</f>
        <v>37.795275590551178</v>
      </c>
      <c r="K13" s="274">
        <f>I13+J13</f>
        <v>79.495275590551188</v>
      </c>
    </row>
    <row r="14" spans="2:17" x14ac:dyDescent="0.25">
      <c r="B14" s="191">
        <v>2</v>
      </c>
      <c r="C14" s="223" t="s">
        <v>245</v>
      </c>
      <c r="D14" s="567"/>
      <c r="E14" s="331">
        <v>0.375</v>
      </c>
      <c r="F14" s="570"/>
      <c r="G14" s="214">
        <v>60</v>
      </c>
      <c r="H14" s="276">
        <v>79.489999999999995</v>
      </c>
      <c r="I14" s="274">
        <f>(0.278*60*2.5)</f>
        <v>41.7</v>
      </c>
      <c r="J14" s="274">
        <f>(60^2)/(254*0.375)</f>
        <v>37.795275590551178</v>
      </c>
      <c r="K14" s="274">
        <f t="shared" ref="K14:K15" si="0">I14+J14</f>
        <v>79.495275590551188</v>
      </c>
    </row>
    <row r="15" spans="2:17" ht="15.75" thickBot="1" x14ac:dyDescent="0.3">
      <c r="B15" s="193">
        <v>3</v>
      </c>
      <c r="C15" s="224" t="s">
        <v>246</v>
      </c>
      <c r="D15" s="568"/>
      <c r="E15" s="194">
        <v>0.375</v>
      </c>
      <c r="F15" s="571"/>
      <c r="G15" s="217">
        <v>49</v>
      </c>
      <c r="H15" s="277">
        <v>59.26</v>
      </c>
      <c r="I15" s="274">
        <f>(0.278*49*2.5)</f>
        <v>34.055000000000007</v>
      </c>
      <c r="J15" s="274">
        <f>(49^2)/(254*0.375)</f>
        <v>25.207349081364828</v>
      </c>
      <c r="K15" s="274">
        <f t="shared" si="0"/>
        <v>59.262349081364832</v>
      </c>
    </row>
    <row r="17" spans="2:2" x14ac:dyDescent="0.25">
      <c r="B17" t="s">
        <v>304</v>
      </c>
    </row>
    <row r="18" spans="2:2" x14ac:dyDescent="0.25">
      <c r="B18" t="s">
        <v>305</v>
      </c>
    </row>
    <row r="19" spans="2:2" x14ac:dyDescent="0.25">
      <c r="B19" t="s">
        <v>306</v>
      </c>
    </row>
    <row r="20" spans="2:2" x14ac:dyDescent="0.25">
      <c r="B20" t="s">
        <v>307</v>
      </c>
    </row>
  </sheetData>
  <mergeCells count="20">
    <mergeCell ref="C4:C5"/>
    <mergeCell ref="H4:H5"/>
    <mergeCell ref="F4:F5"/>
    <mergeCell ref="D4:D5"/>
    <mergeCell ref="D6:D8"/>
    <mergeCell ref="F13:F15"/>
    <mergeCell ref="D13:D15"/>
    <mergeCell ref="F6:F8"/>
    <mergeCell ref="B3:H3"/>
    <mergeCell ref="B10:H10"/>
    <mergeCell ref="B11:B12"/>
    <mergeCell ref="C11:C12"/>
    <mergeCell ref="G11:G12"/>
    <mergeCell ref="E11:E12"/>
    <mergeCell ref="F11:F12"/>
    <mergeCell ref="D11:D12"/>
    <mergeCell ref="H11:H12"/>
    <mergeCell ref="E4:E5"/>
    <mergeCell ref="G4:G5"/>
    <mergeCell ref="B4:B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Kronologi kec. 2020</vt:lpstr>
      <vt:lpstr>Tk. keparahan kec.</vt:lpstr>
      <vt:lpstr>Kec. 2020 &amp; persegmen</vt:lpstr>
      <vt:lpstr>kec. bulan</vt:lpstr>
      <vt:lpstr>Waktu</vt:lpstr>
      <vt:lpstr>Usia</vt:lpstr>
      <vt:lpstr>Kec. sesaat</vt:lpstr>
      <vt:lpstr> Kec. sesaat 2</vt:lpstr>
      <vt:lpstr>Jarak aman henti</vt:lpstr>
      <vt:lpstr>Jarak aman henti 2</vt:lpstr>
      <vt:lpstr>JPM</vt:lpstr>
      <vt:lpstr>Peny. manusia</vt:lpstr>
      <vt:lpstr>Proporsi penyebab kecelakaan</vt:lpstr>
      <vt:lpstr>Proporsi Tipe Tabrakan</vt:lpstr>
      <vt:lpstr>Batas Kec. PM 111</vt:lpstr>
      <vt:lpstr>Komparasi</vt:lpstr>
      <vt:lpstr>Kondisi jalan yg selamat</vt:lpstr>
      <vt:lpstr>Hazard</vt:lpstr>
      <vt:lpstr>Std. Geometrik Jl.</vt:lpstr>
      <vt:lpstr>Usulan penanganan</vt:lpstr>
      <vt:lpstr>Peningkatan</vt:lpstr>
      <vt:lpstr>PCI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Yohanes R.S</dc:creator>
  <cp:lastModifiedBy>Yohanes R.S</cp:lastModifiedBy>
  <dcterms:created xsi:type="dcterms:W3CDTF">2022-06-02T08:22:20Z</dcterms:created>
  <dcterms:modified xsi:type="dcterms:W3CDTF">2022-08-11T16:40:25Z</dcterms:modified>
</cp:coreProperties>
</file>